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715"/>
  <workbookPr defaultThemeVersion="124226"/>
  <mc:AlternateContent xmlns:mc="http://schemas.openxmlformats.org/markup-compatibility/2006">
    <mc:Choice Requires="x15">
      <x15ac:absPath xmlns:x15ac="http://schemas.microsoft.com/office/spreadsheetml/2010/11/ac" url="https://bayergroup-my.sharepoint.com/personal/christian_kuester_bayer_com/Documents/Bayer-Dateien/General_important/01-Label4SafeUse/01-QuickScan/new model/"/>
    </mc:Choice>
  </mc:AlternateContent>
  <xr:revisionPtr revIDLastSave="0" documentId="8_{F37A20DA-A895-4BAB-8498-480F0A437E95}" xr6:coauthVersionLast="47" xr6:coauthVersionMax="47" xr10:uidLastSave="{00000000-0000-0000-0000-000000000000}"/>
  <bookViews>
    <workbookView xWindow="-28920" yWindow="-120" windowWidth="29040" windowHeight="15840" firstSheet="1" activeTab="1" xr2:uid="{00000000-000D-0000-FFFF-FFFF00000000}"/>
  </bookViews>
  <sheets>
    <sheet name="Readme" sheetId="2" r:id="rId1"/>
    <sheet name="Bayer Safety Standard Model" sheetId="1" r:id="rId2"/>
  </sheets>
  <definedNames>
    <definedName name="AOEL">'Bayer Safety Standard Model'!$B$11</definedName>
    <definedName name="Application_type">'Bayer Safety Standard Model'!$V$66:$V$70</definedName>
    <definedName name="AR">'Bayer Safety Standard Model'!$B$6</definedName>
    <definedName name="AREA">'Bayer Safety Standard Model'!$B$7</definedName>
    <definedName name="bodyweight">'Bayer Safety Standard Model'!$B$10</definedName>
    <definedName name="crop_type">'Bayer Safety Standard Model'!$V$82:$V$83</definedName>
    <definedName name="CROPTYPE">'Bayer Safety Standard Model'!#REF!</definedName>
    <definedName name="DIRECTION">'Bayer Safety Standard Model'!#REF!</definedName>
    <definedName name="EQUIP">'Bayer Safety Standard Model'!$B$5</definedName>
    <definedName name="formulation_type">'Bayer Safety Standard Model'!$V$86:$V$88</definedName>
    <definedName name="FT">'Bayer Safety Standard Model'!$B$4</definedName>
    <definedName name="NOZZLE">'Bayer Safety Standard Model'!#REF!</definedName>
    <definedName name="nozzle_type">'Bayer Safety Standard Model'!#REF!</definedName>
    <definedName name="spray_direction">'Bayer Safety Standard Model'!#REF!</definedName>
    <definedName name="test">'Bayer Safety Standard Model'!#REF!</definedName>
    <definedName name="WATER">'Bayer Safety Standard Model'!#REF!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9" i="1" l="1"/>
  <c r="B7" i="1"/>
  <c r="AK84" i="1" l="1"/>
  <c r="AK67" i="1"/>
  <c r="AK51" i="1"/>
  <c r="AK34" i="1"/>
  <c r="AK33" i="1"/>
  <c r="DN14" i="1" l="1"/>
  <c r="BY14" i="1"/>
  <c r="AK76" i="1"/>
  <c r="X28" i="1" l="1"/>
  <c r="X29" i="1" s="1"/>
  <c r="X42" i="1"/>
  <c r="AK72" i="1"/>
  <c r="AK73" i="1"/>
  <c r="AK74" i="1"/>
  <c r="AK75" i="1"/>
  <c r="AK77" i="1"/>
  <c r="AK78" i="1"/>
  <c r="AK79" i="1"/>
  <c r="AK80" i="1"/>
  <c r="AK81" i="1"/>
  <c r="AK82" i="1"/>
  <c r="AK83" i="1"/>
  <c r="AK71" i="1"/>
  <c r="AK55" i="1"/>
  <c r="AK56" i="1"/>
  <c r="AK57" i="1"/>
  <c r="AK58" i="1"/>
  <c r="AK59" i="1"/>
  <c r="AK60" i="1"/>
  <c r="AK61" i="1"/>
  <c r="AK62" i="1"/>
  <c r="AK63" i="1"/>
  <c r="AK64" i="1"/>
  <c r="AK65" i="1"/>
  <c r="AK66" i="1"/>
  <c r="AK54" i="1"/>
  <c r="AK39" i="1"/>
  <c r="AK40" i="1"/>
  <c r="AK41" i="1"/>
  <c r="AK42" i="1"/>
  <c r="AK43" i="1"/>
  <c r="AK44" i="1"/>
  <c r="AK45" i="1"/>
  <c r="AK46" i="1"/>
  <c r="AK47" i="1"/>
  <c r="AK48" i="1"/>
  <c r="AK49" i="1"/>
  <c r="AK50" i="1"/>
  <c r="AK38" i="1"/>
  <c r="AK22" i="1"/>
  <c r="AK23" i="1"/>
  <c r="AK24" i="1"/>
  <c r="AK25" i="1"/>
  <c r="AK26" i="1"/>
  <c r="AK27" i="1"/>
  <c r="AK28" i="1"/>
  <c r="AK29" i="1"/>
  <c r="AK30" i="1"/>
  <c r="AK31" i="1"/>
  <c r="AK32" i="1"/>
  <c r="AK21" i="1"/>
  <c r="CE14" i="1" l="1"/>
  <c r="CZ14" i="1"/>
  <c r="AC51" i="1" s="1"/>
  <c r="CV14" i="1"/>
  <c r="AC39" i="1" s="1"/>
  <c r="CD14" i="1"/>
  <c r="CY14" i="1"/>
  <c r="CG14" i="1"/>
  <c r="CX14" i="1"/>
  <c r="CF14" i="1"/>
  <c r="DA14" i="1"/>
  <c r="DG14" i="1"/>
  <c r="DC14" i="1"/>
  <c r="DF14" i="1"/>
  <c r="DE14" i="1"/>
  <c r="DB14" i="1"/>
  <c r="DD14" i="1"/>
  <c r="BX14" i="1"/>
  <c r="BQ14" i="1"/>
  <c r="BW14" i="1"/>
  <c r="CB14" i="1"/>
  <c r="DO14" i="1"/>
  <c r="DK14" i="1"/>
  <c r="DH14" i="1"/>
  <c r="DJ14" i="1"/>
  <c r="DM14" i="1"/>
  <c r="DI14" i="1"/>
  <c r="AC45" i="1" s="1"/>
  <c r="DP14" i="1"/>
  <c r="DL14" i="1"/>
  <c r="CT14" i="1"/>
  <c r="CW14" i="1"/>
  <c r="CU14" i="1"/>
  <c r="CP14" i="1"/>
  <c r="CK14" i="1"/>
  <c r="CL14" i="1"/>
  <c r="CS14" i="1"/>
  <c r="CN14" i="1"/>
  <c r="CJ14" i="1"/>
  <c r="CQ14" i="1"/>
  <c r="CR14" i="1"/>
  <c r="CM14" i="1"/>
  <c r="CH14" i="1"/>
  <c r="CC14" i="1"/>
  <c r="X33" i="1" l="1"/>
  <c r="X49" i="1"/>
  <c r="X50" i="1" s="1"/>
  <c r="X39" i="1"/>
  <c r="X45" i="1"/>
  <c r="X54" i="1"/>
  <c r="AC31" i="1"/>
  <c r="AC32" i="1" s="1"/>
  <c r="X31" i="1"/>
  <c r="X32" i="1" s="1"/>
  <c r="AC40" i="1"/>
  <c r="AC41" i="1" s="1"/>
  <c r="X40" i="1"/>
  <c r="X41" i="1" s="1"/>
  <c r="X48" i="1"/>
  <c r="W48" i="1" s="1"/>
  <c r="X51" i="1"/>
  <c r="X30" i="1"/>
  <c r="X36" i="1"/>
  <c r="AC37" i="1"/>
  <c r="AC38" i="1" s="1"/>
  <c r="X37" i="1"/>
  <c r="X38" i="1" s="1"/>
  <c r="X43" i="1"/>
  <c r="X44" i="1" s="1"/>
  <c r="X27" i="1"/>
  <c r="X56" i="1"/>
  <c r="X55" i="1"/>
  <c r="AC34" i="1"/>
  <c r="AC35" i="1" s="1"/>
  <c r="X34" i="1"/>
  <c r="X35" i="1" s="1"/>
  <c r="AC46" i="1"/>
  <c r="AC47" i="1" s="1"/>
  <c r="X46" i="1"/>
  <c r="X47" i="1" s="1"/>
  <c r="X52" i="1"/>
  <c r="X53" i="1"/>
  <c r="AC54" i="1"/>
  <c r="AC49" i="1"/>
  <c r="AC50" i="1" s="1"/>
  <c r="Y54" i="1"/>
  <c r="AA27" i="1"/>
  <c r="AC30" i="1"/>
  <c r="Y48" i="1"/>
  <c r="AC48" i="1"/>
  <c r="Z27" i="1"/>
  <c r="W51" i="1"/>
  <c r="Y39" i="1"/>
  <c r="Z28" i="1"/>
  <c r="Z29" i="1" s="1"/>
  <c r="AA28" i="1"/>
  <c r="AA29" i="1" s="1"/>
  <c r="AC53" i="1"/>
  <c r="AC52" i="1"/>
  <c r="Y53" i="1"/>
  <c r="W52" i="1"/>
  <c r="Y52" i="1"/>
  <c r="W53" i="1"/>
  <c r="Y51" i="1"/>
  <c r="W54" i="1"/>
  <c r="W56" i="1"/>
  <c r="W55" i="1"/>
  <c r="AC56" i="1"/>
  <c r="AC55" i="1"/>
  <c r="Y56" i="1"/>
  <c r="Y55" i="1"/>
  <c r="Y37" i="1"/>
  <c r="Y38" i="1" s="1"/>
  <c r="Y42" i="1"/>
  <c r="Y45" i="1"/>
  <c r="W27" i="1"/>
  <c r="Y27" i="1"/>
  <c r="Y28" i="1"/>
  <c r="Y29" i="1" s="1"/>
  <c r="W28" i="1"/>
  <c r="W29" i="1" s="1"/>
  <c r="W43" i="1"/>
  <c r="W44" i="1" s="1"/>
  <c r="Y43" i="1"/>
  <c r="Y44" i="1" s="1"/>
  <c r="W42" i="1"/>
  <c r="W45" i="1"/>
  <c r="W49" i="1"/>
  <c r="W50" i="1" s="1"/>
  <c r="Y49" i="1"/>
  <c r="Y50" i="1" s="1"/>
  <c r="Y46" i="1"/>
  <c r="Y47" i="1" s="1"/>
  <c r="W46" i="1"/>
  <c r="W47" i="1" s="1"/>
  <c r="Y30" i="1"/>
  <c r="Y31" i="1"/>
  <c r="Y32" i="1" s="1"/>
  <c r="W31" i="1"/>
  <c r="W32" i="1" s="1"/>
  <c r="Y34" i="1"/>
  <c r="Y35" i="1" s="1"/>
  <c r="W34" i="1"/>
  <c r="W35" i="1" s="1"/>
  <c r="W37" i="1"/>
  <c r="W38" i="1" s="1"/>
  <c r="W33" i="1"/>
  <c r="Y40" i="1"/>
  <c r="Y41" i="1" s="1"/>
  <c r="W40" i="1"/>
  <c r="W41" i="1" s="1"/>
  <c r="W30" i="1"/>
  <c r="W36" i="1"/>
  <c r="W39" i="1"/>
  <c r="AX82" i="1" l="1"/>
  <c r="BH32" i="1"/>
  <c r="BH49" i="1"/>
  <c r="BH65" i="1"/>
  <c r="BH82" i="1"/>
  <c r="AU65" i="1"/>
  <c r="AU49" i="1"/>
  <c r="AU32" i="1"/>
  <c r="AX65" i="1"/>
  <c r="AX49" i="1"/>
  <c r="AX32" i="1"/>
  <c r="BH81" i="1"/>
  <c r="BH31" i="1"/>
  <c r="BH48" i="1"/>
  <c r="BH64" i="1"/>
  <c r="BG48" i="1"/>
  <c r="BG31" i="1"/>
  <c r="BE31" i="1"/>
  <c r="BE48" i="1"/>
  <c r="AZ31" i="1"/>
  <c r="BB31" i="1"/>
  <c r="AW31" i="1"/>
  <c r="AV31" i="1"/>
  <c r="BC31" i="1"/>
  <c r="AY31" i="1"/>
  <c r="BD31" i="1"/>
  <c r="BB64" i="1"/>
  <c r="BB48" i="1"/>
  <c r="BB81" i="1"/>
  <c r="BE81" i="1"/>
  <c r="AZ81" i="1"/>
  <c r="AZ64" i="1"/>
  <c r="BE64" i="1"/>
  <c r="AZ48" i="1"/>
  <c r="BC64" i="1"/>
  <c r="BC48" i="1"/>
  <c r="BC81" i="1"/>
  <c r="BG64" i="1"/>
  <c r="BD81" i="1"/>
  <c r="AY81" i="1"/>
  <c r="AY64" i="1"/>
  <c r="BG81" i="1"/>
  <c r="BD48" i="1"/>
  <c r="AY48" i="1"/>
  <c r="BD64" i="1"/>
  <c r="AL48" i="1"/>
  <c r="AU31" i="1"/>
  <c r="AX31" i="1"/>
  <c r="AL31" i="1"/>
  <c r="AX81" i="1"/>
  <c r="AW48" i="1"/>
  <c r="AW81" i="1"/>
  <c r="AV64" i="1"/>
  <c r="AV48" i="1"/>
  <c r="AV81" i="1"/>
  <c r="AW64" i="1"/>
  <c r="AX48" i="1"/>
  <c r="AX64" i="1"/>
  <c r="AU82" i="1"/>
  <c r="AL64" i="1"/>
  <c r="AL81" i="1"/>
  <c r="AU48" i="1"/>
  <c r="AU64" i="1"/>
  <c r="AU81" i="1"/>
  <c r="BK14" i="1"/>
  <c r="BV14" i="1"/>
  <c r="CI14" i="1"/>
  <c r="CO14" i="1"/>
  <c r="BP14" i="1"/>
  <c r="BU14" i="1"/>
  <c r="BR14" i="1"/>
  <c r="BL14" i="1"/>
  <c r="BM14" i="1"/>
  <c r="BS14" i="1"/>
  <c r="BN14" i="1"/>
  <c r="BO14" i="1"/>
  <c r="BT14" i="1"/>
  <c r="X24" i="1" l="1"/>
  <c r="AB22" i="1"/>
  <c r="AB23" i="1" s="1"/>
  <c r="X22" i="1"/>
  <c r="X23" i="1" s="1"/>
  <c r="AB25" i="1"/>
  <c r="AB26" i="1" s="1"/>
  <c r="X25" i="1"/>
  <c r="X26" i="1" s="1"/>
  <c r="X21" i="1"/>
  <c r="AC36" i="1"/>
  <c r="AB24" i="1"/>
  <c r="AC33" i="1"/>
  <c r="AB21" i="1"/>
  <c r="AL82" i="1"/>
  <c r="AL65" i="1"/>
  <c r="AL49" i="1"/>
  <c r="AL32" i="1"/>
  <c r="AA24" i="1"/>
  <c r="AA22" i="1"/>
  <c r="AA23" i="1" s="1"/>
  <c r="Z25" i="1"/>
  <c r="Z26" i="1" s="1"/>
  <c r="AA25" i="1"/>
  <c r="AA26" i="1" s="1"/>
  <c r="AA21" i="1"/>
  <c r="Z21" i="1"/>
  <c r="Z24" i="1"/>
  <c r="Z22" i="1"/>
  <c r="Z23" i="1" s="1"/>
  <c r="W21" i="1"/>
  <c r="Y21" i="1"/>
  <c r="Y36" i="1"/>
  <c r="Y33" i="1"/>
  <c r="Y24" i="1"/>
  <c r="W24" i="1"/>
  <c r="Y25" i="1"/>
  <c r="Y26" i="1" s="1"/>
  <c r="W25" i="1"/>
  <c r="W26" i="1" s="1"/>
  <c r="Y22" i="1"/>
  <c r="Y23" i="1" s="1"/>
  <c r="W22" i="1"/>
  <c r="W23" i="1" s="1"/>
  <c r="AL24" i="1" l="1"/>
  <c r="BF83" i="1"/>
  <c r="BF50" i="1"/>
  <c r="BF66" i="1"/>
  <c r="BF33" i="1"/>
  <c r="BC79" i="1"/>
  <c r="BC46" i="1"/>
  <c r="BC29" i="1"/>
  <c r="BC62" i="1"/>
  <c r="BB79" i="1"/>
  <c r="BB46" i="1"/>
  <c r="BB29" i="1"/>
  <c r="BB62" i="1"/>
  <c r="BD21" i="1"/>
  <c r="AY84" i="1"/>
  <c r="AY51" i="1"/>
  <c r="BG21" i="1"/>
  <c r="AY21" i="1"/>
  <c r="AY67" i="1"/>
  <c r="AY34" i="1"/>
  <c r="BA67" i="1"/>
  <c r="BA34" i="1"/>
  <c r="BF21" i="1"/>
  <c r="BA84" i="1"/>
  <c r="BA51" i="1"/>
  <c r="BI21" i="1"/>
  <c r="BA21" i="1"/>
  <c r="AV67" i="1"/>
  <c r="AV34" i="1"/>
  <c r="AV21" i="1"/>
  <c r="BC21" i="1"/>
  <c r="AV84" i="1"/>
  <c r="AV51" i="1"/>
  <c r="AX21" i="1"/>
  <c r="AZ84" i="1"/>
  <c r="AZ51" i="1"/>
  <c r="BH21" i="1"/>
  <c r="AZ21" i="1"/>
  <c r="AZ67" i="1"/>
  <c r="AZ34" i="1"/>
  <c r="BE21" i="1"/>
  <c r="AL84" i="1"/>
  <c r="AL51" i="1"/>
  <c r="AL67" i="1"/>
  <c r="AL34" i="1"/>
  <c r="AU67" i="1"/>
  <c r="AU34" i="1"/>
  <c r="AU21" i="1"/>
  <c r="BB21" i="1"/>
  <c r="AU84" i="1"/>
  <c r="AU51" i="1"/>
  <c r="AW21" i="1"/>
  <c r="BI74" i="1"/>
  <c r="BI62" i="1"/>
  <c r="BI56" i="1"/>
  <c r="BI41" i="1"/>
  <c r="BI29" i="1"/>
  <c r="BI22" i="1"/>
  <c r="BI73" i="1"/>
  <c r="BI60" i="1"/>
  <c r="BI54" i="1"/>
  <c r="BI40" i="1"/>
  <c r="BI72" i="1"/>
  <c r="BI55" i="1"/>
  <c r="BI39" i="1"/>
  <c r="BI77" i="1"/>
  <c r="BI71" i="1"/>
  <c r="BI57" i="1"/>
  <c r="BI44" i="1"/>
  <c r="BI38" i="1"/>
  <c r="BI23" i="1"/>
  <c r="BI27" i="1"/>
  <c r="BI79" i="1"/>
  <c r="BI46" i="1"/>
  <c r="BI24" i="1"/>
  <c r="BB26" i="1"/>
  <c r="BH79" i="1"/>
  <c r="BH72" i="1"/>
  <c r="BH62" i="1"/>
  <c r="BH55" i="1"/>
  <c r="BH41" i="1"/>
  <c r="AZ24" i="1"/>
  <c r="BE24" i="1"/>
  <c r="BH77" i="1"/>
  <c r="BH71" i="1"/>
  <c r="BH60" i="1"/>
  <c r="BH56" i="1"/>
  <c r="BH40" i="1"/>
  <c r="BH22" i="1"/>
  <c r="BE29" i="1"/>
  <c r="BE50" i="1"/>
  <c r="BH73" i="1"/>
  <c r="BH54" i="1"/>
  <c r="BH44" i="1"/>
  <c r="BH38" i="1"/>
  <c r="BH24" i="1"/>
  <c r="BE33" i="1"/>
  <c r="BE27" i="1"/>
  <c r="AZ27" i="1"/>
  <c r="AZ22" i="1"/>
  <c r="BE22" i="1"/>
  <c r="AZ29" i="1"/>
  <c r="AZ33" i="1"/>
  <c r="BH74" i="1"/>
  <c r="BH46" i="1"/>
  <c r="BH27" i="1"/>
  <c r="BH57" i="1"/>
  <c r="BH39" i="1"/>
  <c r="BH29" i="1"/>
  <c r="BH23" i="1"/>
  <c r="BE23" i="1"/>
  <c r="AZ23" i="1"/>
  <c r="BH76" i="1"/>
  <c r="BH59" i="1"/>
  <c r="BH45" i="1"/>
  <c r="BH25" i="1"/>
  <c r="AZ26" i="1"/>
  <c r="BH28" i="1"/>
  <c r="BH80" i="1"/>
  <c r="BH75" i="1"/>
  <c r="BH63" i="1"/>
  <c r="BH43" i="1"/>
  <c r="BE30" i="1"/>
  <c r="BH78" i="1"/>
  <c r="BH58" i="1"/>
  <c r="BH30" i="1"/>
  <c r="AZ30" i="1"/>
  <c r="BH26" i="1"/>
  <c r="BE28" i="1"/>
  <c r="AZ25" i="1"/>
  <c r="BH42" i="1"/>
  <c r="BH61" i="1"/>
  <c r="BE26" i="1"/>
  <c r="BE25" i="1"/>
  <c r="AZ28" i="1"/>
  <c r="BH47" i="1"/>
  <c r="BB27" i="1"/>
  <c r="BD50" i="1"/>
  <c r="BF77" i="1"/>
  <c r="BF71" i="1"/>
  <c r="BA74" i="1"/>
  <c r="BA57" i="1"/>
  <c r="BF54" i="1"/>
  <c r="BF46" i="1"/>
  <c r="BF39" i="1"/>
  <c r="BA41" i="1"/>
  <c r="BA29" i="1"/>
  <c r="BA27" i="1"/>
  <c r="BF24" i="1"/>
  <c r="BA23" i="1"/>
  <c r="BF74" i="1"/>
  <c r="BA83" i="1"/>
  <c r="BA73" i="1"/>
  <c r="BF62" i="1"/>
  <c r="BA54" i="1"/>
  <c r="BF44" i="1"/>
  <c r="BA50" i="1"/>
  <c r="BA33" i="1"/>
  <c r="BA79" i="1"/>
  <c r="BA62" i="1"/>
  <c r="BF79" i="1"/>
  <c r="BF72" i="1"/>
  <c r="BA77" i="1"/>
  <c r="BA71" i="1"/>
  <c r="BA66" i="1"/>
  <c r="BA60" i="1"/>
  <c r="BF57" i="1"/>
  <c r="BA56" i="1"/>
  <c r="BF40" i="1"/>
  <c r="BA44" i="1"/>
  <c r="BA38" i="1"/>
  <c r="BF29" i="1"/>
  <c r="BF27" i="1"/>
  <c r="BF23" i="1"/>
  <c r="BA22" i="1"/>
  <c r="BF55" i="1"/>
  <c r="BF38" i="1"/>
  <c r="BA40" i="1"/>
  <c r="BA24" i="1"/>
  <c r="BF73" i="1"/>
  <c r="BA72" i="1"/>
  <c r="BA39" i="1"/>
  <c r="BF22" i="1"/>
  <c r="BF56" i="1"/>
  <c r="BF41" i="1"/>
  <c r="BF60" i="1"/>
  <c r="BA55" i="1"/>
  <c r="BA46" i="1"/>
  <c r="AL33" i="1"/>
  <c r="AV62" i="1"/>
  <c r="BC57" i="1"/>
  <c r="BC56" i="1"/>
  <c r="BC55" i="1"/>
  <c r="BC54" i="1"/>
  <c r="AV50" i="1"/>
  <c r="AX33" i="1"/>
  <c r="BC73" i="1"/>
  <c r="BC72" i="1"/>
  <c r="AV79" i="1"/>
  <c r="AV33" i="1"/>
  <c r="BC40" i="1"/>
  <c r="BC39" i="1"/>
  <c r="AX46" i="1"/>
  <c r="AX79" i="1"/>
  <c r="AX62" i="1"/>
  <c r="AV29" i="1"/>
  <c r="AX50" i="1"/>
  <c r="AV46" i="1"/>
  <c r="BC23" i="1"/>
  <c r="BC22" i="1"/>
  <c r="AX29" i="1"/>
  <c r="BC38" i="1"/>
  <c r="AV60" i="1"/>
  <c r="AV27" i="1"/>
  <c r="BC60" i="1"/>
  <c r="BC44" i="1"/>
  <c r="BC27" i="1"/>
  <c r="BC77" i="1"/>
  <c r="BC41" i="1"/>
  <c r="BC71" i="1"/>
  <c r="AX60" i="1"/>
  <c r="AX77" i="1"/>
  <c r="BC24" i="1"/>
  <c r="AV77" i="1"/>
  <c r="AV44" i="1"/>
  <c r="AX27" i="1"/>
  <c r="BC74" i="1"/>
  <c r="AX44" i="1"/>
  <c r="BE83" i="1"/>
  <c r="AZ83" i="1"/>
  <c r="AZ50" i="1"/>
  <c r="AZ41" i="1"/>
  <c r="BE40" i="1"/>
  <c r="AZ40" i="1"/>
  <c r="BE39" i="1"/>
  <c r="AZ39" i="1"/>
  <c r="BE79" i="1"/>
  <c r="AZ79" i="1"/>
  <c r="AZ66" i="1"/>
  <c r="AZ62" i="1"/>
  <c r="AZ57" i="1"/>
  <c r="AZ56" i="1"/>
  <c r="AZ55" i="1"/>
  <c r="AZ54" i="1"/>
  <c r="BE73" i="1"/>
  <c r="BE72" i="1"/>
  <c r="BE66" i="1"/>
  <c r="BE62" i="1"/>
  <c r="BE56" i="1"/>
  <c r="BE54" i="1"/>
  <c r="AZ74" i="1"/>
  <c r="AZ72" i="1"/>
  <c r="AZ46" i="1"/>
  <c r="BE57" i="1"/>
  <c r="AZ73" i="1"/>
  <c r="BE55" i="1"/>
  <c r="BE46" i="1"/>
  <c r="BE60" i="1"/>
  <c r="BE71" i="1"/>
  <c r="BE41" i="1"/>
  <c r="AZ60" i="1"/>
  <c r="BE38" i="1"/>
  <c r="AZ44" i="1"/>
  <c r="AZ77" i="1"/>
  <c r="AZ71" i="1"/>
  <c r="BE44" i="1"/>
  <c r="BE77" i="1"/>
  <c r="AZ38" i="1"/>
  <c r="BE74" i="1"/>
  <c r="AU63" i="1"/>
  <c r="BB63" i="1"/>
  <c r="AU80" i="1"/>
  <c r="AW63" i="1"/>
  <c r="BB59" i="1"/>
  <c r="BB58" i="1"/>
  <c r="AU47" i="1"/>
  <c r="BB30" i="1"/>
  <c r="AW30" i="1"/>
  <c r="BB80" i="1"/>
  <c r="AW47" i="1"/>
  <c r="BB47" i="1"/>
  <c r="AU30" i="1"/>
  <c r="AW80" i="1"/>
  <c r="AW61" i="1"/>
  <c r="BB61" i="1"/>
  <c r="AW78" i="1"/>
  <c r="AU78" i="1"/>
  <c r="AW45" i="1"/>
  <c r="BB45" i="1"/>
  <c r="BB78" i="1"/>
  <c r="BB76" i="1"/>
  <c r="BB42" i="1"/>
  <c r="AW28" i="1"/>
  <c r="BB75" i="1"/>
  <c r="BB43" i="1"/>
  <c r="BB25" i="1"/>
  <c r="AW25" i="1"/>
  <c r="AU28" i="1"/>
  <c r="BB28" i="1"/>
  <c r="AW26" i="1"/>
  <c r="AU61" i="1"/>
  <c r="AU45" i="1"/>
  <c r="AL50" i="1"/>
  <c r="AL62" i="1"/>
  <c r="AL29" i="1"/>
  <c r="AL79" i="1"/>
  <c r="AL46" i="1"/>
  <c r="AL41" i="1"/>
  <c r="AL27" i="1"/>
  <c r="AL60" i="1"/>
  <c r="AL77" i="1"/>
  <c r="AL44" i="1"/>
  <c r="AL63" i="1"/>
  <c r="AL80" i="1"/>
  <c r="AL30" i="1"/>
  <c r="AL47" i="1"/>
  <c r="AL78" i="1"/>
  <c r="AL61" i="1"/>
  <c r="AL45" i="1"/>
  <c r="AL28" i="1"/>
  <c r="AU62" i="1"/>
  <c r="BB57" i="1"/>
  <c r="BB56" i="1"/>
  <c r="BB55" i="1"/>
  <c r="BB54" i="1"/>
  <c r="AU50" i="1"/>
  <c r="AW33" i="1"/>
  <c r="BB73" i="1"/>
  <c r="BB72" i="1"/>
  <c r="AU29" i="1"/>
  <c r="BB23" i="1"/>
  <c r="BB22" i="1"/>
  <c r="AW23" i="1"/>
  <c r="AW46" i="1"/>
  <c r="AU33" i="1"/>
  <c r="BB40" i="1"/>
  <c r="BB39" i="1"/>
  <c r="AW79" i="1"/>
  <c r="AW29" i="1"/>
  <c r="AW22" i="1"/>
  <c r="AW62" i="1"/>
  <c r="AU79" i="1"/>
  <c r="AW50" i="1"/>
  <c r="AU46" i="1"/>
  <c r="BB38" i="1"/>
  <c r="AW60" i="1"/>
  <c r="AW44" i="1"/>
  <c r="BB71" i="1"/>
  <c r="AU27" i="1"/>
  <c r="BB60" i="1"/>
  <c r="AW77" i="1"/>
  <c r="BB77" i="1"/>
  <c r="AW24" i="1"/>
  <c r="AU77" i="1"/>
  <c r="AW27" i="1"/>
  <c r="BB24" i="1"/>
  <c r="AU60" i="1"/>
  <c r="AU44" i="1"/>
  <c r="BB41" i="1"/>
  <c r="BB44" i="1"/>
  <c r="BB74" i="1"/>
  <c r="AY58" i="1"/>
  <c r="BD59" i="1"/>
  <c r="AY59" i="1"/>
  <c r="BD58" i="1"/>
  <c r="BG63" i="1"/>
  <c r="AY75" i="1"/>
  <c r="AY43" i="1"/>
  <c r="BD80" i="1"/>
  <c r="AY80" i="1"/>
  <c r="BG47" i="1"/>
  <c r="AY25" i="1"/>
  <c r="AY63" i="1"/>
  <c r="AY76" i="1"/>
  <c r="AY42" i="1"/>
  <c r="AY47" i="1"/>
  <c r="BG30" i="1"/>
  <c r="BG58" i="1"/>
  <c r="AY26" i="1"/>
  <c r="BG80" i="1"/>
  <c r="BD30" i="1"/>
  <c r="BG59" i="1"/>
  <c r="BD47" i="1"/>
  <c r="BD63" i="1"/>
  <c r="AY30" i="1"/>
  <c r="AY28" i="1"/>
  <c r="BD45" i="1"/>
  <c r="BG75" i="1"/>
  <c r="BG43" i="1"/>
  <c r="BG25" i="1"/>
  <c r="BD76" i="1"/>
  <c r="BD42" i="1"/>
  <c r="BD61" i="1"/>
  <c r="AY61" i="1"/>
  <c r="BD78" i="1"/>
  <c r="BG26" i="1"/>
  <c r="BD28" i="1"/>
  <c r="BD25" i="1"/>
  <c r="AY45" i="1"/>
  <c r="AY78" i="1"/>
  <c r="BG45" i="1"/>
  <c r="BG28" i="1"/>
  <c r="BG78" i="1"/>
  <c r="BD75" i="1"/>
  <c r="BG76" i="1"/>
  <c r="BG42" i="1"/>
  <c r="BD26" i="1"/>
  <c r="BG61" i="1"/>
  <c r="BD43" i="1"/>
  <c r="BC63" i="1"/>
  <c r="BC43" i="1"/>
  <c r="AV80" i="1"/>
  <c r="AX63" i="1"/>
  <c r="BC59" i="1"/>
  <c r="BC58" i="1"/>
  <c r="BC47" i="1"/>
  <c r="AX47" i="1"/>
  <c r="BC80" i="1"/>
  <c r="BC30" i="1"/>
  <c r="AX30" i="1"/>
  <c r="AV63" i="1"/>
  <c r="AV30" i="1"/>
  <c r="AV47" i="1"/>
  <c r="AX80" i="1"/>
  <c r="AV61" i="1"/>
  <c r="AV45" i="1"/>
  <c r="AV78" i="1"/>
  <c r="BC78" i="1"/>
  <c r="BC28" i="1"/>
  <c r="BC75" i="1"/>
  <c r="BC61" i="1"/>
  <c r="BC76" i="1"/>
  <c r="AX78" i="1"/>
  <c r="BC45" i="1"/>
  <c r="AX28" i="1"/>
  <c r="AX45" i="1"/>
  <c r="BC42" i="1"/>
  <c r="BC26" i="1"/>
  <c r="AX61" i="1"/>
  <c r="AV28" i="1"/>
  <c r="BC25" i="1"/>
  <c r="BG79" i="1"/>
  <c r="BG62" i="1"/>
  <c r="BG57" i="1"/>
  <c r="BG56" i="1"/>
  <c r="BG55" i="1"/>
  <c r="BG54" i="1"/>
  <c r="AY38" i="1"/>
  <c r="BD83" i="1"/>
  <c r="AY83" i="1"/>
  <c r="AY50" i="1"/>
  <c r="BG73" i="1"/>
  <c r="BG72" i="1"/>
  <c r="AY41" i="1"/>
  <c r="BD40" i="1"/>
  <c r="AY40" i="1"/>
  <c r="BD39" i="1"/>
  <c r="AY39" i="1"/>
  <c r="AY79" i="1"/>
  <c r="BD29" i="1"/>
  <c r="AY29" i="1"/>
  <c r="BG23" i="1"/>
  <c r="BG22" i="1"/>
  <c r="AY66" i="1"/>
  <c r="AY62" i="1"/>
  <c r="AY57" i="1"/>
  <c r="AY56" i="1"/>
  <c r="AY55" i="1"/>
  <c r="AY54" i="1"/>
  <c r="BD33" i="1"/>
  <c r="BD73" i="1"/>
  <c r="BD72" i="1"/>
  <c r="BG46" i="1"/>
  <c r="BD22" i="1"/>
  <c r="BD79" i="1"/>
  <c r="BG29" i="1"/>
  <c r="AY73" i="1"/>
  <c r="BD46" i="1"/>
  <c r="AY22" i="1"/>
  <c r="BD66" i="1"/>
  <c r="BD62" i="1"/>
  <c r="BD56" i="1"/>
  <c r="BD54" i="1"/>
  <c r="AY33" i="1"/>
  <c r="AY74" i="1"/>
  <c r="AY72" i="1"/>
  <c r="BG40" i="1"/>
  <c r="AY46" i="1"/>
  <c r="AY23" i="1"/>
  <c r="BD23" i="1"/>
  <c r="BD57" i="1"/>
  <c r="BD55" i="1"/>
  <c r="BG39" i="1"/>
  <c r="AY24" i="1"/>
  <c r="BG38" i="1"/>
  <c r="AY77" i="1"/>
  <c r="AY44" i="1"/>
  <c r="BD77" i="1"/>
  <c r="BD27" i="1"/>
  <c r="BG41" i="1"/>
  <c r="BD24" i="1"/>
  <c r="BD71" i="1"/>
  <c r="BG74" i="1"/>
  <c r="BD74" i="1"/>
  <c r="BD60" i="1"/>
  <c r="AY60" i="1"/>
  <c r="AY71" i="1"/>
  <c r="BD44" i="1"/>
  <c r="BG27" i="1"/>
  <c r="BG60" i="1"/>
  <c r="BG44" i="1"/>
  <c r="BG77" i="1"/>
  <c r="BD41" i="1"/>
  <c r="AY27" i="1"/>
  <c r="BG24" i="1"/>
  <c r="BG71" i="1"/>
  <c r="BD38" i="1"/>
  <c r="AZ75" i="1"/>
  <c r="AZ43" i="1"/>
  <c r="BE80" i="1"/>
  <c r="AZ80" i="1"/>
  <c r="AZ63" i="1"/>
  <c r="AZ76" i="1"/>
  <c r="AZ42" i="1"/>
  <c r="AZ47" i="1"/>
  <c r="BE47" i="1"/>
  <c r="AZ59" i="1"/>
  <c r="AZ58" i="1"/>
  <c r="BE58" i="1"/>
  <c r="BE63" i="1"/>
  <c r="BE59" i="1"/>
  <c r="AZ45" i="1"/>
  <c r="BE42" i="1"/>
  <c r="BE75" i="1"/>
  <c r="BE76" i="1"/>
  <c r="BE61" i="1"/>
  <c r="AZ61" i="1"/>
  <c r="AZ78" i="1"/>
  <c r="BE78" i="1"/>
  <c r="BE43" i="1"/>
  <c r="BE45" i="1"/>
  <c r="AX23" i="1"/>
  <c r="AX22" i="1"/>
  <c r="AV38" i="1"/>
  <c r="AX24" i="1"/>
  <c r="AX38" i="1"/>
  <c r="AX39" i="1"/>
  <c r="AV39" i="1"/>
  <c r="AU26" i="1"/>
  <c r="AU25" i="1"/>
  <c r="AL38" i="1"/>
  <c r="AL39" i="1"/>
  <c r="AL26" i="1"/>
  <c r="AL25" i="1"/>
  <c r="AU39" i="1"/>
  <c r="AW39" i="1"/>
  <c r="AU38" i="1"/>
  <c r="AW38" i="1"/>
  <c r="AX26" i="1"/>
  <c r="AX25" i="1"/>
  <c r="AV26" i="1"/>
  <c r="AV25" i="1"/>
  <c r="AL22" i="1"/>
  <c r="AL23" i="1"/>
  <c r="AL21" i="1"/>
  <c r="AU22" i="1"/>
  <c r="AU23" i="1"/>
  <c r="AV22" i="1"/>
  <c r="AV23" i="1"/>
  <c r="AW74" i="1"/>
  <c r="AW54" i="1"/>
  <c r="AW41" i="1"/>
  <c r="AW73" i="1"/>
  <c r="AW57" i="1"/>
  <c r="AW56" i="1"/>
  <c r="AW71" i="1"/>
  <c r="AW55" i="1"/>
  <c r="AW40" i="1"/>
  <c r="AW72" i="1"/>
  <c r="AV74" i="1"/>
  <c r="AV54" i="1"/>
  <c r="AV73" i="1"/>
  <c r="AV57" i="1"/>
  <c r="AV71" i="1"/>
  <c r="AV55" i="1"/>
  <c r="AV40" i="1"/>
  <c r="AV24" i="1"/>
  <c r="AV72" i="1"/>
  <c r="AV56" i="1"/>
  <c r="AV41" i="1"/>
  <c r="AW58" i="1"/>
  <c r="AW43" i="1"/>
  <c r="AW42" i="1"/>
  <c r="AW76" i="1"/>
  <c r="AW75" i="1"/>
  <c r="AW59" i="1"/>
  <c r="AV58" i="1"/>
  <c r="AV43" i="1"/>
  <c r="AV42" i="1"/>
  <c r="AV76" i="1"/>
  <c r="AV75" i="1"/>
  <c r="AV59" i="1"/>
  <c r="AU59" i="1"/>
  <c r="AU58" i="1"/>
  <c r="AU76" i="1"/>
  <c r="AU42" i="1"/>
  <c r="AU75" i="1"/>
  <c r="AU43" i="1"/>
  <c r="AX75" i="1"/>
  <c r="AX43" i="1"/>
  <c r="AX76" i="1"/>
  <c r="AX59" i="1"/>
  <c r="AX58" i="1"/>
  <c r="AX42" i="1"/>
  <c r="AU55" i="1"/>
  <c r="AU57" i="1"/>
  <c r="AU54" i="1"/>
  <c r="AU72" i="1"/>
  <c r="AU74" i="1"/>
  <c r="AU40" i="1"/>
  <c r="AU56" i="1"/>
  <c r="AU73" i="1"/>
  <c r="AU41" i="1"/>
  <c r="AU71" i="1"/>
  <c r="AU24" i="1"/>
  <c r="AX71" i="1"/>
  <c r="AX73" i="1"/>
  <c r="AX41" i="1"/>
  <c r="AX72" i="1"/>
  <c r="AX55" i="1"/>
  <c r="AX57" i="1"/>
  <c r="AX74" i="1"/>
  <c r="AX56" i="1"/>
  <c r="AX54" i="1"/>
  <c r="AX40" i="1"/>
  <c r="AL76" i="1"/>
  <c r="AL58" i="1"/>
  <c r="AL75" i="1"/>
  <c r="AL43" i="1"/>
  <c r="AL59" i="1"/>
  <c r="AL42" i="1"/>
  <c r="AL72" i="1"/>
  <c r="AL54" i="1"/>
  <c r="AL74" i="1"/>
  <c r="AL71" i="1"/>
  <c r="AL57" i="1"/>
  <c r="AL40" i="1"/>
  <c r="AL56" i="1"/>
  <c r="AL73" i="1"/>
  <c r="AL55" i="1"/>
  <c r="E19" i="1" l="1"/>
  <c r="J19" i="1"/>
  <c r="N19" i="1"/>
  <c r="R19" i="1"/>
  <c r="K19" i="1"/>
  <c r="G19" i="1"/>
  <c r="H19" i="1"/>
  <c r="S19" i="1"/>
  <c r="I19" i="1"/>
  <c r="O19" i="1"/>
  <c r="Q19" i="1"/>
  <c r="L19" i="1"/>
  <c r="M19" i="1"/>
  <c r="P19" i="1"/>
  <c r="Q20" i="1"/>
  <c r="L20" i="1"/>
  <c r="S20" i="1"/>
  <c r="P20" i="1"/>
  <c r="N20" i="1"/>
  <c r="M20" i="1"/>
  <c r="O20" i="1"/>
  <c r="R20" i="1"/>
  <c r="K20" i="1"/>
  <c r="J20" i="1"/>
  <c r="I20" i="1"/>
  <c r="AW83" i="1"/>
  <c r="G20" i="1" s="1"/>
  <c r="AX66" i="1"/>
  <c r="AW66" i="1"/>
  <c r="AX83" i="1"/>
  <c r="H20" i="1" s="1"/>
  <c r="AV83" i="1"/>
  <c r="F20" i="1" s="1"/>
  <c r="AU66" i="1"/>
  <c r="AV66" i="1"/>
  <c r="AU83" i="1"/>
  <c r="E20" i="1" s="1"/>
  <c r="AL83" i="1"/>
  <c r="AL66" i="1"/>
</calcChain>
</file>

<file path=xl/sharedStrings.xml><?xml version="1.0" encoding="utf-8"?>
<sst xmlns="http://schemas.openxmlformats.org/spreadsheetml/2006/main" count="505" uniqueCount="213">
  <si>
    <t>This model (version 1.0) is based on the the guidance described in the Technical Documentation of the Bayer Safety Standard for Operator Safety (March 2021), which can be downloaded here:</t>
  </si>
  <si>
    <t>https://www.cropscience.bayer.com/who-we-are/transparency/information-about-operator-safety-standards</t>
  </si>
  <si>
    <t>The model was developed to estimate operator exposure to active ingredients formulated in plant protection products. The covered equipment types are associated mainly with spray or granule application. The used handheld models are unique and try to cover scenarios that are common in many countries in Asia, Africa and Latin America. More details in the Bayer Safety Standard for Operator Safety.</t>
  </si>
  <si>
    <t xml:space="preserve">Version: </t>
  </si>
  <si>
    <t>1.0</t>
  </si>
  <si>
    <t>How to run the tool:</t>
  </si>
  <si>
    <t>1. Enter the application parameter and toxicological information</t>
  </si>
  <si>
    <t xml:space="preserve">Product: </t>
  </si>
  <si>
    <t>The plant protection product under evaluation</t>
  </si>
  <si>
    <t xml:space="preserve">Active substance: </t>
  </si>
  <si>
    <t>The active substance formulated in the product and under evaluation (Note: Only the exposure to one active substance can be assessed per single run)</t>
  </si>
  <si>
    <t>Formulation type:</t>
  </si>
  <si>
    <t>WP= Wettable Powder that are diluted in water before the application, WG=Water dispersable granules that are diluted in water before the application, Liquid=all liquids, e.g. EC, SC, SL, OD etc, Granules = Granuels that are directly applied, no dilution in water</t>
  </si>
  <si>
    <t xml:space="preserve">Equipment type: </t>
  </si>
  <si>
    <t>The equipment that is typically used to apply the Plant Protection Product. If it's diluted in water (WP, WG, Liquids) equipment options are related to spray application. For granules only manual granule application and solid broadcast spreader is covered by the model.</t>
  </si>
  <si>
    <t>Application rate:</t>
  </si>
  <si>
    <t>Kilogram active substance (a.s.) applied per hectare</t>
  </si>
  <si>
    <t>Treated area:</t>
  </si>
  <si>
    <t>In a tier 1 approach, default areas are assumed, for more details please refer to table 4.1 in the technical documentation. Values can be overwritten according to local practices</t>
  </si>
  <si>
    <t>Dermal absorption (concentrate):</t>
  </si>
  <si>
    <t>Dermal absorption of the undiluted products, used to assess operator exposure during mixing and loading of the product. Proposals on default values in case no measured data are available in the Bayer Safety Standard for Operator Safety.</t>
  </si>
  <si>
    <t>Dermal absorption (diluted):</t>
  </si>
  <si>
    <t>Dermal absorption of the in-use dilutions, used to assess operator exposure during the application of the product. Proposals on default values in case no measured data are available in the Bayer Safety Standard for Operator Safety.</t>
  </si>
  <si>
    <t>Bodyweight:</t>
  </si>
  <si>
    <t>60 kg (default, resonable worst case), can be changed if needed</t>
  </si>
  <si>
    <t>AOEL:</t>
  </si>
  <si>
    <t xml:space="preserve">Toxicological human-relevant endpoint . AOEL=Accetpable Operator Exposure Level. This is the value to which operator exposure is compared to. In a first tier, the AOELs compiled in the EU database can be used. https://ec.europa.eu/food/plant/pesticides/eu-pesticides-database/active-substances/?event=search.as </t>
  </si>
  <si>
    <t>Mask during mixing and loading/application:</t>
  </si>
  <si>
    <t>A simple particle filter mask is assumed (e.g. FFP1), which provides a protection of 80% to inhalation exposure. A mask can reduce the exposure significantly in particular for powder formulations, but not so much for liquid formulations.</t>
  </si>
  <si>
    <t>2. The output style gives guidance under which clothing conditions a safe use is possible: Exposure values above 100% of the AOEL indicate that the use is considered not safe according to the model. Further refinements or mitigation measures are needed.</t>
  </si>
  <si>
    <t>Further explanation:</t>
  </si>
  <si>
    <t>Normal PPE:</t>
  </si>
  <si>
    <r>
      <t>Basic PPE that can be easily purchased by local operators. This includes a working coveral, the use of chemical protective gloves (</t>
    </r>
    <r>
      <rPr>
        <b/>
        <u/>
        <sz val="11"/>
        <color theme="1"/>
        <rFont val="Arial"/>
        <family val="2"/>
      </rPr>
      <t xml:space="preserve">nitrile </t>
    </r>
    <r>
      <rPr>
        <sz val="11"/>
        <color theme="1"/>
        <rFont val="Arial"/>
        <family val="2"/>
      </rPr>
      <t>gloves(!)) and a particle filter mask (FFP1). The risk assessment outcome considers four different clothing types: all with one layer of work clothes and differet combinations of nitrile gloves</t>
    </r>
  </si>
  <si>
    <t>Advanced PPE:</t>
  </si>
  <si>
    <t>Advanced PPE is not accessible by all farmers. It includes the use of an apron, impervious clothin or the use of closed transfer systems. Risk Management needs to decide, if those exposure scenarios are relevant</t>
  </si>
  <si>
    <r>
      <rPr>
        <b/>
        <sz val="11"/>
        <color theme="1"/>
        <rFont val="Arial"/>
        <family val="2"/>
      </rPr>
      <t>Suggested citation</t>
    </r>
    <r>
      <rPr>
        <sz val="11"/>
        <color theme="1"/>
        <rFont val="Arial"/>
        <family val="2"/>
      </rPr>
      <t>: Technical Documentation, Bayer Safety Standard for Operator Safety, March 2021</t>
    </r>
  </si>
  <si>
    <r>
      <t xml:space="preserve">If you need further guidance or if you have identified any inconsitencies or errors please contact us via </t>
    </r>
    <r>
      <rPr>
        <b/>
        <sz val="11"/>
        <color rgb="FF0070C0"/>
        <rFont val="Arial"/>
        <family val="2"/>
      </rPr>
      <t>cropscience-transparency@bayer.com</t>
    </r>
  </si>
  <si>
    <t>Product:</t>
  </si>
  <si>
    <t>Product 1</t>
  </si>
  <si>
    <t>Reference:</t>
  </si>
  <si>
    <t>Models used:</t>
  </si>
  <si>
    <t>Active substance:</t>
  </si>
  <si>
    <t>Substance 1</t>
  </si>
  <si>
    <t>Formulation type (FT):</t>
  </si>
  <si>
    <t>Liquid</t>
  </si>
  <si>
    <t>Equipment (EQUIP):</t>
  </si>
  <si>
    <t>Handheld - normal crop - Knapsack</t>
  </si>
  <si>
    <t>Standard PPE</t>
  </si>
  <si>
    <t>Advanced PPE</t>
  </si>
  <si>
    <t>Application rate (AR):</t>
  </si>
  <si>
    <t>kg a.s./ha</t>
  </si>
  <si>
    <t>One layer of work clothes</t>
  </si>
  <si>
    <t>One layer of work clothes
+nitrile gloves during mixing/loading</t>
  </si>
  <si>
    <t>One layer of work clothes
+nitrile gloves during application.</t>
  </si>
  <si>
    <t>One layer of work clothes
+nitrile gloves during mixing/loading and application</t>
  </si>
  <si>
    <t>One layer of work clothes
+nitrile gloves and apron during mixing/loading</t>
  </si>
  <si>
    <t>One layer of work clothes
+nitrile gloves and impervious clothing during mixing/loading</t>
  </si>
  <si>
    <t>One layer of work clothes
+nitrile gloves and CTS  during mixing/loading</t>
  </si>
  <si>
    <t>One layer of work clothes
+nitrile gloves and impervious clothing during application</t>
  </si>
  <si>
    <t>One layer of work clothes
+ nitrile gloves during mixing/loading
+nitrile gloves and impervious clothing during application</t>
  </si>
  <si>
    <t>One layer of work clothes
+nitrile gloves and apron during mixing/loading
+ nitrile gloves during application</t>
  </si>
  <si>
    <t>One layer of work clothes
+nitrile gloves and mpervious clothing during mixing/loading
+nitrile gloves during application</t>
  </si>
  <si>
    <t>One layer of work clothes
+nitrile gloves and CTS during mixing/loading
+nitrile gloves during application</t>
  </si>
  <si>
    <t>One layer of work clothes
+nitrile gloves and apron during mixing/loading
+ nitrile gloves and impervious clothing during application</t>
  </si>
  <si>
    <t>One layer of work clothes
+nitrile gloves and Impervious clothing during mixing/loading
+nitrile gloves and impervious clothing during application</t>
  </si>
  <si>
    <t>One layer of work clothes
+nitrile gloves and CTS during mixing/loading
+nitrile gloves and impervious clothing during application</t>
  </si>
  <si>
    <t>Treated area (AREA)</t>
  </si>
  <si>
    <t>ha/day (default)</t>
  </si>
  <si>
    <t>Dermal absorption: concentrate</t>
  </si>
  <si>
    <t>%</t>
  </si>
  <si>
    <r>
      <rPr>
        <b/>
        <sz val="11"/>
        <color theme="1"/>
        <rFont val="Arial"/>
        <family val="2"/>
      </rPr>
      <t>Step 1</t>
    </r>
    <r>
      <rPr>
        <sz val="11"/>
        <color theme="1"/>
        <rFont val="Arial"/>
        <family val="2"/>
      </rPr>
      <t>: Calculation of external exposure in µg/person, body parts and exposure scenarios separated</t>
    </r>
  </si>
  <si>
    <t>Dermal absorption: dilution</t>
  </si>
  <si>
    <t>Bodyweight</t>
  </si>
  <si>
    <t>kg</t>
  </si>
  <si>
    <t>Mixing and loading</t>
  </si>
  <si>
    <t>Application</t>
  </si>
  <si>
    <t>AOEL (toxicological endpoint)</t>
  </si>
  <si>
    <t>mg/kg bw/day</t>
  </si>
  <si>
    <t>Tank</t>
  </si>
  <si>
    <t>Knapsack</t>
  </si>
  <si>
    <t>Granule</t>
  </si>
  <si>
    <t>Tractor mounted downwards</t>
  </si>
  <si>
    <t>Airblast - no cabin</t>
  </si>
  <si>
    <t>Airblast - with cabin</t>
  </si>
  <si>
    <t>Handheld - normal culture</t>
  </si>
  <si>
    <t>Handheld - dense culture, downwards</t>
  </si>
  <si>
    <t xml:space="preserve">Handheld - dense culture, upwards </t>
  </si>
  <si>
    <t>Granules, vehicle mounted</t>
  </si>
  <si>
    <t>Granules,manual, M&amp;L+A</t>
  </si>
  <si>
    <t>Aerial (airplane) application</t>
  </si>
  <si>
    <t>Mask during M&amp;L</t>
  </si>
  <si>
    <t>No</t>
  </si>
  <si>
    <t>Total hands</t>
  </si>
  <si>
    <t>Protected hands</t>
  </si>
  <si>
    <t>Total body</t>
  </si>
  <si>
    <t>Protected body</t>
  </si>
  <si>
    <t>head</t>
  </si>
  <si>
    <t>inhalation</t>
  </si>
  <si>
    <t>long clothes</t>
  </si>
  <si>
    <t>long clothes + gloves</t>
  </si>
  <si>
    <t>Inhalation</t>
  </si>
  <si>
    <t>Potential</t>
  </si>
  <si>
    <t>Actual</t>
  </si>
  <si>
    <t>Actual+Gloves</t>
  </si>
  <si>
    <t>total hand</t>
  </si>
  <si>
    <t>protected hand</t>
  </si>
  <si>
    <t>total body</t>
  </si>
  <si>
    <t>protected body</t>
  </si>
  <si>
    <t>long clothes+gloves</t>
  </si>
  <si>
    <t>Mask during Application</t>
  </si>
  <si>
    <t>µg/person</t>
  </si>
  <si>
    <r>
      <rPr>
        <b/>
        <sz val="11"/>
        <color theme="1"/>
        <rFont val="Arial"/>
        <family val="2"/>
      </rPr>
      <t xml:space="preserve">Step 3: </t>
    </r>
    <r>
      <rPr>
        <sz val="11"/>
        <color theme="1"/>
        <rFont val="Arial"/>
        <family val="2"/>
      </rPr>
      <t>Calculation of systemic exposure in mg/person. Exposure during Mixing&amp;Loading and Application now combined and corrected for dermal absorption. Four inhalation scenarios: no mask, Mask during M&amp;L, Mask during Appl., Mask during M&amp;L and Appl.</t>
    </r>
  </si>
  <si>
    <r>
      <rPr>
        <b/>
        <sz val="11"/>
        <color theme="1"/>
        <rFont val="Arial"/>
        <family val="2"/>
      </rPr>
      <t>systemic</t>
    </r>
    <r>
      <rPr>
        <sz val="11"/>
        <color theme="1"/>
        <rFont val="Arial"/>
        <family val="2"/>
      </rPr>
      <t xml:space="preserve"> exposure (mg/person)</t>
    </r>
  </si>
  <si>
    <t>Systemic exposure in mg/kg bw/day</t>
  </si>
  <si>
    <r>
      <t xml:space="preserve">Step 2: </t>
    </r>
    <r>
      <rPr>
        <sz val="11"/>
        <color theme="1"/>
        <rFont val="Arial"/>
        <family val="2"/>
      </rPr>
      <t>Calculation of external exposure in µg/person (Sum of automatic claculation that starts from column BK-DP) - Exposure from different body part are summed up, exposure during mixing &amp;loading and application is still separated at this point</t>
    </r>
  </si>
  <si>
    <t>No mask</t>
  </si>
  <si>
    <t>Exposure in % of the AOEL</t>
  </si>
  <si>
    <t>Potential exposure</t>
  </si>
  <si>
    <t>One layer of work clothes+ nitrile gloves</t>
  </si>
  <si>
    <t>One layer of work clothes + gloves+apron during M&amp;L</t>
  </si>
  <si>
    <t>One layer of work clothing + nitrile gloves + impervious clothing during M&amp;L</t>
  </si>
  <si>
    <t>One layer of work clothes + nitrile gloves + CTS during M&amp;L</t>
  </si>
  <si>
    <t>One layer of work clothes + nitrile gloves + impervious clothing during Application</t>
  </si>
  <si>
    <t>systemic exposure in mg/day</t>
  </si>
  <si>
    <t>One layer</t>
  </si>
  <si>
    <t>One layer+ gloves during M&amp;L</t>
  </si>
  <si>
    <t>One layer+ gloves during Appl</t>
  </si>
  <si>
    <t>One layer+ gloves during M&amp;L+Appl</t>
  </si>
  <si>
    <t>One layer of clothing
+gloves and apron during M&amp;L</t>
  </si>
  <si>
    <t>One layer of clothing
+gloves and  impervious clothing during M&amp;L</t>
  </si>
  <si>
    <t>One layer of clothing
+gloves and CTS  during M&amp;L</t>
  </si>
  <si>
    <t>One layer of clothing
+gloves and impervious clothing during Appl.</t>
  </si>
  <si>
    <t>One layer of clothing
+ gloves during M&amp;L
+gloves and impervious clothing during Appl.</t>
  </si>
  <si>
    <t>One layer of clothing
+gloves and apron during M&amp;L
+ gloves during application</t>
  </si>
  <si>
    <t>One layer of clothing
+gloves and Impervious clothing during M&amp;L
+gloves during application</t>
  </si>
  <si>
    <t>One layer of clothing
+gloves and CTS clothing during M&amp;L
+gloves during application</t>
  </si>
  <si>
    <t>One layer of clothing
+gloves and apron during M&amp;L
+ gloves and impervious clothing during application</t>
  </si>
  <si>
    <t>One layer of clothing
+gloves and impervious clothing during M&amp;L
+gloves and impervious clothing during application</t>
  </si>
  <si>
    <t>One layer of clothing
+gloves and CTS during M&amp;L
+gloves and impervious clothing during application</t>
  </si>
  <si>
    <t>M&amp;L, Dermal, tank</t>
  </si>
  <si>
    <t>Step 4: Exposure is caculated in mg/kg bw/day and compared to the AOEL</t>
  </si>
  <si>
    <t>M&amp;L, Inhalation Tank</t>
  </si>
  <si>
    <t>M&amp;L, Inhalation Tank, with mask</t>
  </si>
  <si>
    <t>M&amp;L, Dermal, knapsack</t>
  </si>
  <si>
    <t>Additional explanations on exposure calcuations:</t>
  </si>
  <si>
    <t>M&amp;L, Inhalation Knapsack</t>
  </si>
  <si>
    <t>NA</t>
  </si>
  <si>
    <t>M&amp;L, Inhalation Knapsack, with mask</t>
  </si>
  <si>
    <t>Short description</t>
  </si>
  <si>
    <t>More details in</t>
  </si>
  <si>
    <t>M&amp;L, Granules, dermal</t>
  </si>
  <si>
    <t xml:space="preserve">Step 1: </t>
  </si>
  <si>
    <r>
      <t xml:space="preserve">Calculation of </t>
    </r>
    <r>
      <rPr>
        <b/>
        <sz val="11"/>
        <color rgb="FFFF0000"/>
        <rFont val="Arial"/>
        <family val="2"/>
      </rPr>
      <t>external</t>
    </r>
    <r>
      <rPr>
        <b/>
        <sz val="11"/>
        <color theme="1"/>
        <rFont val="Arial"/>
        <family val="2"/>
      </rPr>
      <t xml:space="preserve"> exposure </t>
    </r>
    <r>
      <rPr>
        <sz val="11"/>
        <color theme="1"/>
        <rFont val="Arial"/>
        <family val="2"/>
      </rPr>
      <t>in µg/person, body parts separated, Exposure during M&amp;L and application still separated</t>
    </r>
  </si>
  <si>
    <t>click to jump to cell</t>
  </si>
  <si>
    <t>M&amp;L, Granules, inhalation</t>
  </si>
  <si>
    <t>Step 2:</t>
  </si>
  <si>
    <r>
      <t xml:space="preserve">Calculation of </t>
    </r>
    <r>
      <rPr>
        <b/>
        <sz val="11"/>
        <color rgb="FFFF0000"/>
        <rFont val="Arial"/>
        <family val="2"/>
      </rPr>
      <t xml:space="preserve">external </t>
    </r>
    <r>
      <rPr>
        <b/>
        <sz val="11"/>
        <color theme="1"/>
        <rFont val="Arial"/>
        <family val="2"/>
      </rPr>
      <t>exposure</t>
    </r>
    <r>
      <rPr>
        <sz val="11"/>
        <color theme="1"/>
        <rFont val="Arial"/>
        <family val="2"/>
      </rPr>
      <t xml:space="preserve"> in µg/person, </t>
    </r>
    <r>
      <rPr>
        <b/>
        <sz val="11"/>
        <color theme="1"/>
        <rFont val="Arial"/>
        <family val="2"/>
      </rPr>
      <t>body parts now combined</t>
    </r>
    <r>
      <rPr>
        <sz val="11"/>
        <color theme="1"/>
        <rFont val="Arial"/>
        <family val="2"/>
      </rPr>
      <t>, Exposure during M&amp;L and application still separated</t>
    </r>
  </si>
  <si>
    <t>M&amp;L, Granules, inhalation with mask</t>
  </si>
  <si>
    <t>Step 3</t>
  </si>
  <si>
    <r>
      <t xml:space="preserve">Calculation of </t>
    </r>
    <r>
      <rPr>
        <b/>
        <sz val="11"/>
        <color rgb="FF00B050"/>
        <rFont val="Arial"/>
        <family val="2"/>
      </rPr>
      <t xml:space="preserve">systemic </t>
    </r>
    <r>
      <rPr>
        <b/>
        <sz val="11"/>
        <color theme="1"/>
        <rFont val="Arial"/>
        <family val="2"/>
      </rPr>
      <t>exposure</t>
    </r>
    <r>
      <rPr>
        <sz val="11"/>
        <color theme="1"/>
        <rFont val="Arial"/>
        <family val="2"/>
      </rPr>
      <t xml:space="preserve"> in mg/person, </t>
    </r>
    <r>
      <rPr>
        <b/>
        <sz val="11"/>
        <color theme="1"/>
        <rFont val="Arial"/>
        <family val="2"/>
      </rPr>
      <t>body parts  combined</t>
    </r>
    <r>
      <rPr>
        <sz val="11"/>
        <color theme="1"/>
        <rFont val="Arial"/>
        <family val="2"/>
      </rPr>
      <t>, Exposure during M&amp;L and application combined</t>
    </r>
  </si>
  <si>
    <t>Application, tractor mounted, dermal</t>
  </si>
  <si>
    <t>Step 4</t>
  </si>
  <si>
    <r>
      <t xml:space="preserve">Calculation of </t>
    </r>
    <r>
      <rPr>
        <b/>
        <sz val="11"/>
        <color rgb="FF00B050"/>
        <rFont val="Arial"/>
        <family val="2"/>
      </rPr>
      <t xml:space="preserve">systemic </t>
    </r>
    <r>
      <rPr>
        <b/>
        <sz val="11"/>
        <color theme="1"/>
        <rFont val="Arial"/>
        <family val="2"/>
      </rPr>
      <t>exposure</t>
    </r>
    <r>
      <rPr>
        <sz val="11"/>
        <color theme="1"/>
        <rFont val="Arial"/>
        <family val="2"/>
      </rPr>
      <t xml:space="preserve"> in mg/kg bodyweight/day, </t>
    </r>
    <r>
      <rPr>
        <b/>
        <sz val="11"/>
        <color theme="1"/>
        <rFont val="Arial"/>
        <family val="2"/>
      </rPr>
      <t>body parts  combined</t>
    </r>
    <r>
      <rPr>
        <sz val="11"/>
        <color theme="1"/>
        <rFont val="Arial"/>
        <family val="2"/>
      </rPr>
      <t>, Exposure during M&amp;L and application combined, comparison of exposure and AOEL</t>
    </r>
  </si>
  <si>
    <t>Application, tractor mounted, inhalation</t>
  </si>
  <si>
    <t>Application, tractor mounted, inhalation with mask</t>
  </si>
  <si>
    <t>Application, Airblast no cabin, dermal</t>
  </si>
  <si>
    <t>Application, Airblast no cabin, inhalation</t>
  </si>
  <si>
    <t>Application, Airblast no cabin, inhalation with mask</t>
  </si>
  <si>
    <t>Application, Airblast with cabin, dermal</t>
  </si>
  <si>
    <t>Application, Airblast with cabin, inhalation</t>
  </si>
  <si>
    <t>Application, Airblast with cabin, inhalation with mask</t>
  </si>
  <si>
    <t>Application, handheld, normal crops, dermal</t>
  </si>
  <si>
    <t>Application, handheld, normal crops, inhalation</t>
  </si>
  <si>
    <t>Application, handheld, normal crops, inhalation with mask</t>
  </si>
  <si>
    <t>Application, Aerial (airplane), dermal</t>
  </si>
  <si>
    <t>Application, Aerial (airplane), inhalation</t>
  </si>
  <si>
    <t>Application, Aerial (airplane), inhalation with mask</t>
  </si>
  <si>
    <t>Application, granule, dermal</t>
  </si>
  <si>
    <t>Application, granule, vehicle mounted, inhalation</t>
  </si>
  <si>
    <t>Application, granule, vehicle mounted, inhalation with mask</t>
  </si>
  <si>
    <t>M&amp;L+Application, granule, manual, dermal</t>
  </si>
  <si>
    <t>M&amp;L+Application, granule, manual, inhalation</t>
  </si>
  <si>
    <t>M&amp;L+Application, granule, manual, inhalation with mask</t>
  </si>
  <si>
    <t>Application, handheld, dense crops, downwards dermal</t>
  </si>
  <si>
    <t>Application, handheld, dense crops,downwards inhalation</t>
  </si>
  <si>
    <t>Application, handheld, dense crops, downwards inhalation with mask</t>
  </si>
  <si>
    <t>Application, handheld, dense crops, upwards dermal</t>
  </si>
  <si>
    <t>Application, handheld, dense crops, upwards inhalation</t>
  </si>
  <si>
    <t>Application, handheld, dense crops, upwards inhalation with mask</t>
  </si>
  <si>
    <t>Equipment type (selection list):</t>
  </si>
  <si>
    <t>AREA treated (default)</t>
  </si>
  <si>
    <t>Tractor mounted boom sprayer</t>
  </si>
  <si>
    <t>Airblast without cabin</t>
  </si>
  <si>
    <t>Airblast with cabin</t>
  </si>
  <si>
    <t>Handheld - normal crop - Lance Tank</t>
  </si>
  <si>
    <t>Mask during M&amp;L and Application</t>
  </si>
  <si>
    <t>Handheld - normal crop - Powerblaster/motorized Knapsack</t>
  </si>
  <si>
    <t>Handheld - dense crop - downwards -  Lance Tank</t>
  </si>
  <si>
    <t>Handheld - dense crop - downwards -  (motorized) Knapsack</t>
  </si>
  <si>
    <t>Handheld - dense crop - upwards - Tank</t>
  </si>
  <si>
    <t>Handheld - dense crop - upwards - (motorized) Knapsack</t>
  </si>
  <si>
    <t>Aerial (airplane)</t>
  </si>
  <si>
    <t>Drip irrigation</t>
  </si>
  <si>
    <t>Solid Broadcast spreader for granules</t>
  </si>
  <si>
    <t>Manual granule application</t>
  </si>
  <si>
    <t>Crop type (selection list):</t>
  </si>
  <si>
    <t>normal</t>
  </si>
  <si>
    <t>dense</t>
  </si>
  <si>
    <t>Formulation type (selection list):</t>
  </si>
  <si>
    <t>WP</t>
  </si>
  <si>
    <t>WG</t>
  </si>
  <si>
    <t>Mask used (selection list):</t>
  </si>
  <si>
    <t>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</si>
</sst>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000"/>
    <numFmt numFmtId="165" formatCode="###,000"/>
    <numFmt numFmtId="166" formatCode="_-* #,##0.00\ [$€]_-;\-* #,##0.00\ [$€]_-;_-* &quot;-&quot;??\ [$€]_-;_-@_-"/>
    <numFmt numFmtId="167" formatCode="0.0%"/>
    <numFmt numFmtId="168" formatCode="0.000"/>
    <numFmt numFmtId="169" formatCode="0.0"/>
    <numFmt numFmtId="170" formatCode="0.000000"/>
  </numFmts>
  <fonts count="49">
    <font>
      <sz val="11"/>
      <color theme="1"/>
      <name val="Arial"/>
      <family val="2"/>
    </font>
    <font>
      <sz val="11"/>
      <color theme="1"/>
      <name val="Arial"/>
      <family val="2"/>
    </font>
    <font>
      <b/>
      <sz val="11"/>
      <color theme="1"/>
      <name val="Arial"/>
      <family val="2"/>
    </font>
    <font>
      <sz val="11"/>
      <name val="Arial"/>
      <family val="2"/>
    </font>
    <font>
      <sz val="10"/>
      <name val="MS Sans Serif"/>
      <family val="2"/>
    </font>
    <font>
      <sz val="10"/>
      <name val="Arial"/>
      <family val="2"/>
    </font>
    <font>
      <sz val="10"/>
      <color theme="1"/>
      <name val="Times Roman"/>
      <family val="2"/>
    </font>
    <font>
      <sz val="8"/>
      <color rgb="FF000000"/>
      <name val="Arial"/>
      <family val="2"/>
    </font>
    <font>
      <sz val="8"/>
      <color rgb="FF1F497D"/>
      <name val="Verdana"/>
      <family val="2"/>
    </font>
    <font>
      <b/>
      <sz val="8"/>
      <color rgb="FF1F497D"/>
      <name val="Verdana"/>
      <family val="2"/>
    </font>
    <font>
      <sz val="8"/>
      <color rgb="FF000000"/>
      <name val="Verdana"/>
      <family val="2"/>
    </font>
    <font>
      <i/>
      <sz val="8"/>
      <color rgb="FF000000"/>
      <name val="Verdana"/>
      <family val="2"/>
    </font>
    <font>
      <i/>
      <sz val="8"/>
      <color rgb="FF1F497D"/>
      <name val="Verdana"/>
      <family val="2"/>
    </font>
    <font>
      <b/>
      <i/>
      <sz val="8"/>
      <color rgb="FF1F497D"/>
      <name val="Verdana"/>
      <family val="2"/>
    </font>
    <font>
      <b/>
      <i/>
      <sz val="8"/>
      <color rgb="FF000000"/>
      <name val="Verdana"/>
      <family val="2"/>
    </font>
    <font>
      <b/>
      <sz val="8"/>
      <color rgb="FF00CC00"/>
      <name val="Verdana"/>
      <family val="2"/>
    </font>
    <font>
      <b/>
      <sz val="8"/>
      <color rgb="FF33CC33"/>
      <name val="Verdana"/>
      <family val="2"/>
    </font>
    <font>
      <b/>
      <sz val="8"/>
      <color rgb="FFFF9900"/>
      <name val="Verdana"/>
      <family val="2"/>
    </font>
    <font>
      <b/>
      <sz val="8"/>
      <color rgb="FFFF0000"/>
      <name val="Verdana"/>
      <family val="2"/>
    </font>
    <font>
      <sz val="11"/>
      <color theme="1"/>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rgb="FFFA7D00"/>
      <name val="Calibri"/>
      <family val="2"/>
      <scheme val="minor"/>
    </font>
    <font>
      <i/>
      <sz val="11"/>
      <color rgb="FF7F7F7F"/>
      <name val="Calibri"/>
      <family val="2"/>
      <scheme val="minor"/>
    </font>
    <font>
      <sz val="11"/>
      <color rgb="FF3F3F76"/>
      <name val="Calibri"/>
      <family val="2"/>
      <scheme val="minor"/>
    </font>
    <font>
      <b/>
      <sz val="11"/>
      <color rgb="FF3F3F3F"/>
      <name val="Calibri"/>
      <family val="2"/>
      <scheme val="minor"/>
    </font>
    <font>
      <sz val="10"/>
      <color theme="1"/>
      <name val="Arial"/>
      <family val="2"/>
    </font>
    <font>
      <b/>
      <sz val="24"/>
      <color theme="1"/>
      <name val="Arial"/>
      <family val="2"/>
    </font>
    <font>
      <b/>
      <sz val="14"/>
      <color theme="1"/>
      <name val="Arial"/>
      <family val="2"/>
    </font>
    <font>
      <b/>
      <sz val="11"/>
      <color rgb="FF0070C0"/>
      <name val="Arial"/>
      <family val="2"/>
    </font>
    <font>
      <u/>
      <sz val="11"/>
      <color theme="10"/>
      <name val="Arial"/>
      <family val="2"/>
    </font>
    <font>
      <b/>
      <u/>
      <sz val="11"/>
      <color theme="1"/>
      <name val="Arial"/>
      <family val="2"/>
    </font>
    <font>
      <b/>
      <sz val="11"/>
      <color rgb="FFFF0000"/>
      <name val="Arial"/>
      <family val="2"/>
    </font>
    <font>
      <b/>
      <sz val="11"/>
      <color rgb="FF00B050"/>
      <name val="Arial"/>
      <family val="2"/>
    </font>
  </fonts>
  <fills count="59">
    <fill>
      <patternFill patternType="none"/>
    </fill>
    <fill>
      <patternFill patternType="gray125"/>
    </fill>
    <fill>
      <patternFill patternType="solid">
        <fgColor rgb="FFFFCC99"/>
      </patternFill>
    </fill>
    <fill>
      <patternFill patternType="solid">
        <fgColor rgb="FFF2F2F2"/>
      </patternFill>
    </fill>
    <fill>
      <patternFill patternType="solid">
        <fgColor rgb="FFDBE5F1"/>
        <bgColor rgb="FF000000"/>
      </patternFill>
    </fill>
    <fill>
      <patternFill patternType="solid">
        <fgColor rgb="FFFFFFFF"/>
        <bgColor rgb="FF000000"/>
      </patternFill>
    </fill>
    <fill>
      <patternFill patternType="solid">
        <fgColor rgb="FFE9EFF7"/>
        <bgColor rgb="FF000000"/>
      </patternFill>
    </fill>
    <fill>
      <patternFill patternType="solid">
        <fgColor rgb="FFF1F5FB"/>
        <bgColor rgb="FF000000"/>
      </patternFill>
    </fill>
    <fill>
      <patternFill patternType="solid">
        <fgColor rgb="FFC6F9C1"/>
        <bgColor rgb="FF000000"/>
      </patternFill>
    </fill>
    <fill>
      <patternFill patternType="solid">
        <fgColor rgb="FFABEDA5"/>
        <bgColor rgb="FF000000"/>
      </patternFill>
    </fill>
    <fill>
      <patternFill patternType="solid">
        <fgColor rgb="FF94D88F"/>
        <bgColor rgb="FF000000"/>
      </patternFill>
    </fill>
    <fill>
      <patternFill patternType="solid">
        <fgColor rgb="FFFFFDBF"/>
        <bgColor rgb="FF000000"/>
      </patternFill>
    </fill>
    <fill>
      <patternFill patternType="solid">
        <fgColor rgb="FFFFFB8C"/>
        <bgColor rgb="FF000000"/>
      </patternFill>
    </fill>
    <fill>
      <patternFill patternType="solid">
        <fgColor rgb="FFFFF843"/>
        <bgColor rgb="FF000000"/>
      </patternFill>
    </fill>
    <fill>
      <patternFill patternType="solid">
        <fgColor rgb="FFFFC7CE"/>
        <bgColor rgb="FF000000"/>
      </patternFill>
    </fill>
    <fill>
      <patternFill patternType="solid">
        <fgColor rgb="FFFF988C"/>
        <bgColor rgb="FF000000"/>
      </patternFill>
    </fill>
    <fill>
      <patternFill patternType="solid">
        <fgColor rgb="FFFF6758"/>
        <bgColor rgb="FF000000"/>
      </patternFill>
    </fill>
    <fill>
      <patternFill patternType="solid">
        <fgColor rgb="FFB7CFE8"/>
        <bgColor rgb="FF000000"/>
      </patternFill>
    </fill>
    <fill>
      <patternFill patternType="solid">
        <fgColor rgb="FFC3D6EB"/>
        <bgColor rgb="FF000000"/>
      </patternFill>
    </fill>
    <fill>
      <patternFill patternType="solid">
        <fgColor rgb="FFDBE5F2"/>
        <bgColor rgb="FF000000"/>
      </patternFill>
    </fill>
    <fill>
      <patternFill patternType="solid">
        <fgColor rgb="FFDBE5F1"/>
        <bgColor rgb="FFFFFFFF"/>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
      <patternFill patternType="solid">
        <fgColor indexed="53"/>
        <bgColor indexed="29"/>
      </patternFill>
    </fill>
    <fill>
      <patternFill patternType="solid">
        <fgColor rgb="FFFFFF00"/>
        <bgColor indexed="64"/>
      </patternFill>
    </fill>
    <fill>
      <patternFill patternType="solid">
        <fgColor theme="4" tint="0.59999389629810485"/>
        <bgColor indexed="64"/>
      </patternFill>
    </fill>
    <fill>
      <patternFill patternType="solid">
        <fgColor rgb="FFFFC000"/>
        <bgColor indexed="64"/>
      </patternFill>
    </fill>
    <fill>
      <patternFill patternType="solid">
        <fgColor rgb="FF92D050"/>
        <bgColor indexed="64"/>
      </patternFill>
    </fill>
    <fill>
      <patternFill patternType="solid">
        <fgColor theme="7" tint="0.79998168889431442"/>
        <bgColor indexed="64"/>
      </patternFill>
    </fill>
    <fill>
      <patternFill patternType="solid">
        <fgColor theme="3" tint="0.59999389629810485"/>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9" tint="0.79998168889431442"/>
        <bgColor indexed="64"/>
      </patternFill>
    </fill>
    <fill>
      <patternFill patternType="solid">
        <fgColor theme="2" tint="-9.9978637043366805E-2"/>
        <bgColor indexed="64"/>
      </patternFill>
    </fill>
  </fills>
  <borders count="51">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theme="3" tint="-0.24994659260841701"/>
      </left>
      <right style="thin">
        <color theme="3" tint="-0.24994659260841701"/>
      </right>
      <top style="thin">
        <color theme="3" tint="-0.24994659260841701"/>
      </top>
      <bottom style="thin">
        <color theme="3" tint="-0.24994659260841701"/>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style="thin">
        <color rgb="FF808080"/>
      </left>
      <right style="thin">
        <color rgb="FF808080"/>
      </right>
      <top style="thin">
        <color rgb="FF808080"/>
      </top>
      <bottom style="thin">
        <color rgb="FF808080"/>
      </bottom>
      <diagonal/>
    </border>
    <border>
      <left style="thin">
        <color rgb="FF000000"/>
      </left>
      <right style="thin">
        <color rgb="FF000000"/>
      </right>
      <top style="thin">
        <color rgb="FF000000"/>
      </top>
      <bottom style="thin">
        <color rgb="FF000000"/>
      </bottom>
      <diagonal/>
    </border>
    <border>
      <left style="hair">
        <color rgb="FFC0C0C0"/>
      </left>
      <right style="hair">
        <color rgb="FFC0C0C0"/>
      </right>
      <top style="thin">
        <color rgb="FF808080"/>
      </top>
      <bottom style="thin">
        <color rgb="FF808080"/>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127">
    <xf numFmtId="0" fontId="0" fillId="0" borderId="0"/>
    <xf numFmtId="9" fontId="1" fillId="0" borderId="0" applyFont="0" applyFill="0" applyBorder="0" applyAlignment="0" applyProtection="0"/>
    <xf numFmtId="0" fontId="3" fillId="0" borderId="0"/>
    <xf numFmtId="0" fontId="4" fillId="0" borderId="0"/>
    <xf numFmtId="0" fontId="5" fillId="0" borderId="0"/>
    <xf numFmtId="0" fontId="6" fillId="0" borderId="0"/>
    <xf numFmtId="0" fontId="1" fillId="0" borderId="0"/>
    <xf numFmtId="0" fontId="5" fillId="0" borderId="0"/>
    <xf numFmtId="0" fontId="7" fillId="0" borderId="4" applyNumberFormat="0" applyFont="0" applyFill="0" applyAlignment="0" applyProtection="0"/>
    <xf numFmtId="165" fontId="8" fillId="0" borderId="5" applyNumberFormat="0" applyProtection="0">
      <alignment horizontal="right" vertical="center"/>
    </xf>
    <xf numFmtId="165" fontId="9" fillId="0" borderId="6" applyNumberFormat="0" applyProtection="0">
      <alignment horizontal="right" vertical="center"/>
    </xf>
    <xf numFmtId="0" fontId="9" fillId="4" borderId="4" applyNumberFormat="0" applyAlignment="0" applyProtection="0">
      <alignment horizontal="left" vertical="center" indent="1"/>
    </xf>
    <xf numFmtId="0" fontId="10" fillId="5" borderId="6" applyNumberFormat="0" applyAlignment="0" applyProtection="0">
      <alignment horizontal="left" vertical="center" indent="1"/>
    </xf>
    <xf numFmtId="0" fontId="10" fillId="5" borderId="6" applyNumberFormat="0" applyAlignment="0" applyProtection="0">
      <alignment horizontal="left" vertical="center" indent="1"/>
    </xf>
    <xf numFmtId="0" fontId="11" fillId="0" borderId="7" applyNumberFormat="0" applyFill="0" applyBorder="0" applyAlignment="0" applyProtection="0"/>
    <xf numFmtId="0" fontId="11" fillId="5" borderId="6" applyNumberFormat="0" applyAlignment="0" applyProtection="0">
      <alignment horizontal="left" vertical="center" indent="1"/>
    </xf>
    <xf numFmtId="0" fontId="11" fillId="5" borderId="6" applyNumberFormat="0" applyAlignment="0" applyProtection="0">
      <alignment horizontal="left" vertical="center" indent="1"/>
    </xf>
    <xf numFmtId="165" fontId="12" fillId="6" borderId="5" applyNumberFormat="0" applyBorder="0" applyProtection="0">
      <alignment horizontal="right" vertical="center"/>
    </xf>
    <xf numFmtId="165" fontId="13" fillId="6" borderId="6" applyNumberFormat="0" applyBorder="0" applyProtection="0">
      <alignment horizontal="right" vertical="center"/>
    </xf>
    <xf numFmtId="0" fontId="11" fillId="7" borderId="6" applyNumberFormat="0" applyAlignment="0" applyProtection="0">
      <alignment horizontal="left" vertical="center" indent="1"/>
    </xf>
    <xf numFmtId="165" fontId="13" fillId="7" borderId="6" applyNumberFormat="0" applyProtection="0">
      <alignment horizontal="right" vertical="center"/>
    </xf>
    <xf numFmtId="0" fontId="14" fillId="0" borderId="7" applyBorder="0" applyAlignment="0" applyProtection="0"/>
    <xf numFmtId="165" fontId="15" fillId="8" borderId="8" applyNumberFormat="0" applyBorder="0" applyAlignment="0" applyProtection="0">
      <alignment horizontal="right" vertical="center" indent="1"/>
    </xf>
    <xf numFmtId="165" fontId="16" fillId="9" borderId="8" applyNumberFormat="0" applyBorder="0" applyAlignment="0" applyProtection="0">
      <alignment horizontal="right" vertical="center" indent="1"/>
    </xf>
    <xf numFmtId="165" fontId="16" fillId="10" borderId="8" applyNumberFormat="0" applyBorder="0" applyAlignment="0" applyProtection="0">
      <alignment horizontal="right" vertical="center" indent="1"/>
    </xf>
    <xf numFmtId="165" fontId="17" fillId="11" borderId="8" applyNumberFormat="0" applyBorder="0" applyAlignment="0" applyProtection="0">
      <alignment horizontal="right" vertical="center" indent="1"/>
    </xf>
    <xf numFmtId="165" fontId="17" fillId="12" borderId="8" applyNumberFormat="0" applyBorder="0" applyAlignment="0" applyProtection="0">
      <alignment horizontal="right" vertical="center" indent="1"/>
    </xf>
    <xf numFmtId="165" fontId="17" fillId="13" borderId="8" applyNumberFormat="0" applyBorder="0" applyAlignment="0" applyProtection="0">
      <alignment horizontal="right" vertical="center" indent="1"/>
    </xf>
    <xf numFmtId="165" fontId="18" fillId="14" borderId="8" applyNumberFormat="0" applyBorder="0" applyAlignment="0" applyProtection="0">
      <alignment horizontal="right" vertical="center" indent="1"/>
    </xf>
    <xf numFmtId="165" fontId="18" fillId="15" borderId="8" applyNumberFormat="0" applyBorder="0" applyAlignment="0" applyProtection="0">
      <alignment horizontal="right" vertical="center" indent="1"/>
    </xf>
    <xf numFmtId="165" fontId="18" fillId="16" borderId="8" applyNumberFormat="0" applyBorder="0" applyAlignment="0" applyProtection="0">
      <alignment horizontal="right" vertical="center" indent="1"/>
    </xf>
    <xf numFmtId="0" fontId="10" fillId="17" borderId="4" applyNumberFormat="0" applyAlignment="0" applyProtection="0">
      <alignment horizontal="left" vertical="center" indent="1"/>
    </xf>
    <xf numFmtId="0" fontId="10" fillId="18" borderId="4" applyNumberFormat="0" applyAlignment="0" applyProtection="0">
      <alignment horizontal="left" vertical="center" indent="1"/>
    </xf>
    <xf numFmtId="0" fontId="10" fillId="19" borderId="4" applyNumberFormat="0" applyAlignment="0" applyProtection="0">
      <alignment horizontal="left" vertical="center" indent="1"/>
    </xf>
    <xf numFmtId="0" fontId="10" fillId="6" borderId="4" applyNumberFormat="0" applyAlignment="0" applyProtection="0">
      <alignment horizontal="left" vertical="center" indent="1"/>
    </xf>
    <xf numFmtId="0" fontId="10" fillId="7" borderId="6" applyNumberFormat="0" applyAlignment="0" applyProtection="0">
      <alignment horizontal="left" vertical="center" indent="1"/>
    </xf>
    <xf numFmtId="165" fontId="8" fillId="6" borderId="5" applyNumberFormat="0" applyBorder="0" applyProtection="0">
      <alignment horizontal="right" vertical="center"/>
    </xf>
    <xf numFmtId="165" fontId="9" fillId="6" borderId="6" applyNumberFormat="0" applyBorder="0" applyProtection="0">
      <alignment horizontal="right" vertical="center"/>
    </xf>
    <xf numFmtId="165" fontId="8" fillId="20" borderId="4" applyNumberFormat="0" applyAlignment="0" applyProtection="0">
      <alignment horizontal="left" vertical="center" indent="1"/>
    </xf>
    <xf numFmtId="0" fontId="9" fillId="4" borderId="6" applyNumberFormat="0" applyAlignment="0" applyProtection="0">
      <alignment horizontal="left" vertical="center" indent="1"/>
    </xf>
    <xf numFmtId="0" fontId="10" fillId="7" borderId="6" applyNumberFormat="0" applyAlignment="0" applyProtection="0">
      <alignment horizontal="left" vertical="center" indent="1"/>
    </xf>
    <xf numFmtId="165" fontId="9" fillId="7" borderId="6" applyNumberFormat="0" applyProtection="0">
      <alignment horizontal="right" vertical="center"/>
    </xf>
    <xf numFmtId="0" fontId="4" fillId="0" borderId="0"/>
    <xf numFmtId="0" fontId="19" fillId="0" borderId="0"/>
    <xf numFmtId="0" fontId="20" fillId="21"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24" borderId="0" applyNumberFormat="0" applyBorder="0" applyAlignment="0" applyProtection="0"/>
    <xf numFmtId="0" fontId="20" fillId="27" borderId="0" applyNumberFormat="0" applyBorder="0" applyAlignment="0" applyProtection="0"/>
    <xf numFmtId="0" fontId="20" fillId="30" borderId="0" applyNumberFormat="0" applyBorder="0" applyAlignment="0" applyProtection="0"/>
    <xf numFmtId="0" fontId="21" fillId="31"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21" fillId="32" borderId="0" applyNumberFormat="0" applyBorder="0" applyAlignment="0" applyProtection="0"/>
    <xf numFmtId="0" fontId="21" fillId="33" borderId="0" applyNumberFormat="0" applyBorder="0" applyAlignment="0" applyProtection="0"/>
    <xf numFmtId="0" fontId="21" fillId="34" borderId="0" applyNumberFormat="0" applyBorder="0" applyAlignment="0" applyProtection="0"/>
    <xf numFmtId="0" fontId="21" fillId="35" borderId="0" applyNumberFormat="0" applyBorder="0" applyAlignment="0" applyProtection="0"/>
    <xf numFmtId="0" fontId="21" fillId="36" borderId="0" applyNumberFormat="0" applyBorder="0" applyAlignment="0" applyProtection="0"/>
    <xf numFmtId="0" fontId="21" fillId="37" borderId="0" applyNumberFormat="0" applyBorder="0" applyAlignment="0" applyProtection="0"/>
    <xf numFmtId="0" fontId="21" fillId="32" borderId="0" applyNumberFormat="0" applyBorder="0" applyAlignment="0" applyProtection="0"/>
    <xf numFmtId="0" fontId="21" fillId="33" borderId="0" applyNumberFormat="0" applyBorder="0" applyAlignment="0" applyProtection="0"/>
    <xf numFmtId="0" fontId="21" fillId="38" borderId="0" applyNumberFormat="0" applyBorder="0" applyAlignment="0" applyProtection="0"/>
    <xf numFmtId="0" fontId="22" fillId="22" borderId="0" applyNumberFormat="0" applyBorder="0" applyAlignment="0" applyProtection="0"/>
    <xf numFmtId="0" fontId="37" fillId="3" borderId="1" applyNumberFormat="0" applyAlignment="0" applyProtection="0"/>
    <xf numFmtId="0" fontId="23" fillId="39" borderId="9" applyNumberFormat="0" applyAlignment="0" applyProtection="0"/>
    <xf numFmtId="0" fontId="24" fillId="40" borderId="10" applyNumberFormat="0" applyAlignment="0" applyProtection="0"/>
    <xf numFmtId="0" fontId="38" fillId="0" borderId="0" applyNumberFormat="0" applyFill="0" applyBorder="0" applyAlignment="0" applyProtection="0"/>
    <xf numFmtId="0" fontId="25" fillId="0" borderId="0" applyNumberFormat="0" applyFill="0" applyBorder="0" applyAlignment="0" applyProtection="0"/>
    <xf numFmtId="0" fontId="26" fillId="23" borderId="0" applyNumberFormat="0" applyBorder="0" applyAlignment="0" applyProtection="0"/>
    <xf numFmtId="0" fontId="27" fillId="0" borderId="11" applyNumberFormat="0" applyFill="0" applyAlignment="0" applyProtection="0"/>
    <xf numFmtId="0" fontId="28" fillId="0" borderId="12" applyNumberFormat="0" applyFill="0" applyAlignment="0" applyProtection="0"/>
    <xf numFmtId="0" fontId="29" fillId="0" borderId="13" applyNumberFormat="0" applyFill="0" applyAlignment="0" applyProtection="0"/>
    <xf numFmtId="0" fontId="29" fillId="0" borderId="0" applyNumberFormat="0" applyFill="0" applyBorder="0" applyAlignment="0" applyProtection="0"/>
    <xf numFmtId="0" fontId="39" fillId="2" borderId="1" applyNumberFormat="0" applyAlignment="0" applyProtection="0"/>
    <xf numFmtId="0" fontId="30" fillId="26" borderId="9" applyNumberFormat="0" applyAlignment="0" applyProtection="0"/>
    <xf numFmtId="0" fontId="31" fillId="0" borderId="14" applyNumberFormat="0" applyFill="0" applyAlignment="0" applyProtection="0"/>
    <xf numFmtId="0" fontId="32" fillId="41" borderId="0" applyNumberFormat="0" applyBorder="0" applyAlignment="0" applyProtection="0"/>
    <xf numFmtId="0" fontId="20" fillId="0" borderId="0"/>
    <xf numFmtId="0" fontId="4" fillId="0" borderId="0"/>
    <xf numFmtId="0" fontId="20" fillId="42" borderId="15" applyNumberFormat="0" applyAlignment="0" applyProtection="0"/>
    <xf numFmtId="0" fontId="40" fillId="3" borderId="2" applyNumberFormat="0" applyAlignment="0" applyProtection="0"/>
    <xf numFmtId="0" fontId="33" fillId="39" borderId="16" applyNumberFormat="0" applyAlignment="0" applyProtection="0"/>
    <xf numFmtId="0" fontId="34" fillId="0" borderId="0" applyNumberFormat="0" applyFill="0" applyBorder="0" applyAlignment="0" applyProtection="0"/>
    <xf numFmtId="0" fontId="35" fillId="0" borderId="17" applyNumberFormat="0" applyFill="0" applyAlignment="0" applyProtection="0"/>
    <xf numFmtId="0" fontId="36" fillId="0" borderId="0" applyNumberFormat="0" applyFill="0" applyBorder="0" applyAlignment="0" applyProtection="0"/>
    <xf numFmtId="0" fontId="5" fillId="0" borderId="0"/>
    <xf numFmtId="166" fontId="5" fillId="0" borderId="0" applyFont="0" applyFill="0" applyBorder="0" applyAlignment="0" applyProtection="0"/>
    <xf numFmtId="0" fontId="5" fillId="43" borderId="0" applyNumberFormat="0" applyBorder="0" applyAlignment="0" applyProtection="0"/>
    <xf numFmtId="166" fontId="5" fillId="0" borderId="0" applyFont="0" applyFill="0" applyBorder="0" applyAlignment="0" applyProtection="0"/>
    <xf numFmtId="0" fontId="41" fillId="0" borderId="0"/>
    <xf numFmtId="9" fontId="41" fillId="0" borderId="0" applyFont="0" applyFill="0" applyBorder="0" applyAlignment="0" applyProtection="0"/>
    <xf numFmtId="0" fontId="20" fillId="21"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24" borderId="0" applyNumberFormat="0" applyBorder="0" applyAlignment="0" applyProtection="0"/>
    <xf numFmtId="0" fontId="20" fillId="27" borderId="0" applyNumberFormat="0" applyBorder="0" applyAlignment="0" applyProtection="0"/>
    <xf numFmtId="0" fontId="20" fillId="30" borderId="0" applyNumberFormat="0" applyBorder="0" applyAlignment="0" applyProtection="0"/>
    <xf numFmtId="0" fontId="20" fillId="0" borderId="0"/>
    <xf numFmtId="0" fontId="20" fillId="42" borderId="15" applyNumberFormat="0" applyAlignment="0" applyProtection="0"/>
    <xf numFmtId="0" fontId="20" fillId="21"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24" borderId="0" applyNumberFormat="0" applyBorder="0" applyAlignment="0" applyProtection="0"/>
    <xf numFmtId="0" fontId="20" fillId="27" borderId="0" applyNumberFormat="0" applyBorder="0" applyAlignment="0" applyProtection="0"/>
    <xf numFmtId="0" fontId="20" fillId="30" borderId="0" applyNumberFormat="0" applyBorder="0" applyAlignment="0" applyProtection="0"/>
    <xf numFmtId="0" fontId="20" fillId="0" borderId="0"/>
    <xf numFmtId="0" fontId="20" fillId="42" borderId="15" applyNumberFormat="0" applyAlignment="0" applyProtection="0"/>
    <xf numFmtId="0" fontId="5" fillId="0" borderId="0"/>
    <xf numFmtId="0" fontId="45" fillId="0" borderId="0" applyNumberFormat="0" applyFill="0" applyBorder="0" applyAlignment="0" applyProtection="0"/>
  </cellStyleXfs>
  <cellXfs count="144">
    <xf numFmtId="0" fontId="0" fillId="0" borderId="0" xfId="0"/>
    <xf numFmtId="0" fontId="2" fillId="45" borderId="3" xfId="0" applyFont="1" applyFill="1" applyBorder="1"/>
    <xf numFmtId="0" fontId="0" fillId="45" borderId="3" xfId="0" applyFill="1" applyBorder="1"/>
    <xf numFmtId="0" fontId="2" fillId="44" borderId="3" xfId="0" applyFont="1" applyFill="1" applyBorder="1" applyAlignment="1">
      <alignment horizontal="center"/>
    </xf>
    <xf numFmtId="0" fontId="0" fillId="0" borderId="0" xfId="0" applyAlignment="1">
      <alignment horizontal="center"/>
    </xf>
    <xf numFmtId="167" fontId="2" fillId="44" borderId="3" xfId="0" applyNumberFormat="1" applyFont="1" applyFill="1" applyBorder="1" applyAlignment="1">
      <alignment horizontal="center"/>
    </xf>
    <xf numFmtId="169" fontId="0" fillId="0" borderId="0" xfId="0" applyNumberFormat="1"/>
    <xf numFmtId="0" fontId="0" fillId="0" borderId="0" xfId="0" applyAlignment="1">
      <alignment horizontal="center" vertical="center" wrapText="1"/>
    </xf>
    <xf numFmtId="0" fontId="0" fillId="44" borderId="0" xfId="0" applyFill="1"/>
    <xf numFmtId="0" fontId="0" fillId="0" borderId="0" xfId="0" applyAlignment="1">
      <alignment vertical="center" wrapText="1"/>
    </xf>
    <xf numFmtId="0" fontId="0" fillId="45" borderId="0" xfId="0" applyFill="1"/>
    <xf numFmtId="0" fontId="0" fillId="0" borderId="0" xfId="0" applyAlignment="1">
      <alignment vertical="top"/>
    </xf>
    <xf numFmtId="0" fontId="2" fillId="0" borderId="0" xfId="0" applyFont="1"/>
    <xf numFmtId="0" fontId="2" fillId="45" borderId="19" xfId="0" applyFont="1" applyFill="1" applyBorder="1"/>
    <xf numFmtId="0" fontId="2" fillId="0" borderId="0" xfId="0" applyFont="1" applyAlignment="1">
      <alignment vertical="center" wrapText="1"/>
    </xf>
    <xf numFmtId="1" fontId="0" fillId="0" borderId="0" xfId="0" applyNumberFormat="1"/>
    <xf numFmtId="164" fontId="0" fillId="0" borderId="0" xfId="0" applyNumberFormat="1"/>
    <xf numFmtId="167" fontId="42" fillId="0" borderId="18" xfId="1" applyNumberFormat="1" applyFont="1" applyBorder="1" applyAlignment="1">
      <alignment horizontal="center" vertical="center" wrapText="1"/>
    </xf>
    <xf numFmtId="0" fontId="0" fillId="46" borderId="0" xfId="0" applyFill="1"/>
    <xf numFmtId="0" fontId="2" fillId="45" borderId="21" xfId="0" applyFont="1" applyFill="1" applyBorder="1"/>
    <xf numFmtId="0" fontId="2" fillId="45" borderId="22" xfId="0" applyFont="1" applyFill="1" applyBorder="1"/>
    <xf numFmtId="0" fontId="2" fillId="45" borderId="23" xfId="0" applyFont="1" applyFill="1" applyBorder="1"/>
    <xf numFmtId="0" fontId="0" fillId="45" borderId="24" xfId="0" applyFill="1" applyBorder="1"/>
    <xf numFmtId="0" fontId="0" fillId="45" borderId="25" xfId="0" applyFill="1" applyBorder="1"/>
    <xf numFmtId="0" fontId="2" fillId="46" borderId="22" xfId="0" applyFont="1" applyFill="1" applyBorder="1"/>
    <xf numFmtId="0" fontId="2" fillId="46" borderId="23" xfId="0" applyFont="1" applyFill="1" applyBorder="1"/>
    <xf numFmtId="0" fontId="0" fillId="46" borderId="25" xfId="0" applyFill="1" applyBorder="1"/>
    <xf numFmtId="0" fontId="2" fillId="44" borderId="3" xfId="0" applyFont="1" applyFill="1" applyBorder="1" applyAlignment="1">
      <alignment horizontal="center" wrapText="1"/>
    </xf>
    <xf numFmtId="2" fontId="0" fillId="0" borderId="0" xfId="0" applyNumberFormat="1"/>
    <xf numFmtId="167" fontId="42" fillId="0" borderId="26" xfId="1" applyNumberFormat="1" applyFont="1" applyBorder="1" applyAlignment="1">
      <alignment horizontal="center" vertical="center" wrapText="1"/>
    </xf>
    <xf numFmtId="167" fontId="42" fillId="0" borderId="27" xfId="1" applyNumberFormat="1" applyFont="1" applyBorder="1" applyAlignment="1">
      <alignment horizontal="center" vertical="center" wrapText="1"/>
    </xf>
    <xf numFmtId="0" fontId="43" fillId="0" borderId="20" xfId="0" applyFont="1" applyBorder="1" applyAlignment="1">
      <alignment horizontal="center" vertical="center"/>
    </xf>
    <xf numFmtId="0" fontId="43" fillId="0" borderId="18" xfId="0" applyFont="1" applyBorder="1" applyAlignment="1">
      <alignment horizontal="center" vertical="center"/>
    </xf>
    <xf numFmtId="0" fontId="0" fillId="45" borderId="28" xfId="0" applyFill="1" applyBorder="1"/>
    <xf numFmtId="0" fontId="0" fillId="45" borderId="29" xfId="0" applyFill="1" applyBorder="1"/>
    <xf numFmtId="0" fontId="0" fillId="45" borderId="27" xfId="0" applyFill="1" applyBorder="1"/>
    <xf numFmtId="0" fontId="0" fillId="0" borderId="0" xfId="0" quotePrefix="1"/>
    <xf numFmtId="0" fontId="45" fillId="0" borderId="0" xfId="126" applyFill="1" applyBorder="1"/>
    <xf numFmtId="0" fontId="2" fillId="0" borderId="22" xfId="0" applyFont="1" applyBorder="1" applyAlignment="1">
      <alignment vertical="center" wrapText="1"/>
    </xf>
    <xf numFmtId="0" fontId="2" fillId="0" borderId="0" xfId="0" quotePrefix="1" applyFont="1"/>
    <xf numFmtId="0" fontId="0" fillId="0" borderId="0" xfId="0" applyAlignment="1">
      <alignment wrapText="1"/>
    </xf>
    <xf numFmtId="0" fontId="2" fillId="0" borderId="3" xfId="0" applyFont="1" applyBorder="1" applyAlignment="1">
      <alignment vertical="top"/>
    </xf>
    <xf numFmtId="0" fontId="0" fillId="0" borderId="3" xfId="0" applyBorder="1" applyAlignment="1">
      <alignment vertical="center" wrapText="1"/>
    </xf>
    <xf numFmtId="0" fontId="2" fillId="0" borderId="3" xfId="0" applyFont="1" applyBorder="1" applyAlignment="1">
      <alignment vertical="top" wrapText="1"/>
    </xf>
    <xf numFmtId="0" fontId="0" fillId="0" borderId="3" xfId="0" applyBorder="1" applyAlignment="1">
      <alignment wrapText="1"/>
    </xf>
    <xf numFmtId="0" fontId="0" fillId="0" borderId="3" xfId="0" applyBorder="1"/>
    <xf numFmtId="0" fontId="0" fillId="0" borderId="3" xfId="0" applyBorder="1" applyAlignment="1">
      <alignment horizontal="center"/>
    </xf>
    <xf numFmtId="1" fontId="0" fillId="0" borderId="3" xfId="0" applyNumberFormat="1" applyBorder="1"/>
    <xf numFmtId="1" fontId="0" fillId="0" borderId="3" xfId="0" quotePrefix="1" applyNumberFormat="1" applyBorder="1"/>
    <xf numFmtId="168" fontId="0" fillId="0" borderId="3" xfId="0" applyNumberFormat="1" applyBorder="1"/>
    <xf numFmtId="0" fontId="2" fillId="0" borderId="3" xfId="0" applyFont="1" applyBorder="1"/>
    <xf numFmtId="169" fontId="0" fillId="0" borderId="3" xfId="0" applyNumberFormat="1" applyBorder="1"/>
    <xf numFmtId="2" fontId="0" fillId="0" borderId="3" xfId="0" applyNumberFormat="1" applyBorder="1"/>
    <xf numFmtId="0" fontId="2" fillId="0" borderId="3" xfId="0" applyFont="1" applyBorder="1" applyAlignment="1">
      <alignment wrapText="1"/>
    </xf>
    <xf numFmtId="0" fontId="0" fillId="0" borderId="36" xfId="0" applyBorder="1"/>
    <xf numFmtId="0" fontId="0" fillId="0" borderId="37" xfId="0" applyBorder="1"/>
    <xf numFmtId="0" fontId="0" fillId="0" borderId="26" xfId="0" applyBorder="1"/>
    <xf numFmtId="0" fontId="2" fillId="0" borderId="36" xfId="0" applyFont="1" applyBorder="1"/>
    <xf numFmtId="0" fontId="2" fillId="0" borderId="18" xfId="0" applyFont="1" applyBorder="1"/>
    <xf numFmtId="0" fontId="2" fillId="0" borderId="40" xfId="0" applyFont="1" applyBorder="1" applyAlignment="1">
      <alignment wrapText="1"/>
    </xf>
    <xf numFmtId="164" fontId="0" fillId="0" borderId="3" xfId="0" applyNumberFormat="1" applyBorder="1"/>
    <xf numFmtId="0" fontId="3" fillId="0" borderId="3" xfId="0" applyFont="1" applyBorder="1"/>
    <xf numFmtId="170" fontId="0" fillId="0" borderId="3" xfId="0" applyNumberFormat="1" applyBorder="1"/>
    <xf numFmtId="170" fontId="3" fillId="0" borderId="3" xfId="0" applyNumberFormat="1" applyFont="1" applyBorder="1"/>
    <xf numFmtId="164" fontId="0" fillId="0" borderId="3" xfId="0" quotePrefix="1" applyNumberFormat="1" applyBorder="1"/>
    <xf numFmtId="0" fontId="2" fillId="45" borderId="41" xfId="0" applyFont="1" applyFill="1" applyBorder="1"/>
    <xf numFmtId="0" fontId="2" fillId="0" borderId="42" xfId="0" applyFont="1" applyBorder="1" applyAlignment="1">
      <alignment wrapText="1"/>
    </xf>
    <xf numFmtId="0" fontId="2" fillId="0" borderId="43" xfId="0" applyFont="1" applyBorder="1" applyAlignment="1">
      <alignment wrapText="1"/>
    </xf>
    <xf numFmtId="0" fontId="0" fillId="0" borderId="44" xfId="0" applyBorder="1"/>
    <xf numFmtId="164" fontId="0" fillId="0" borderId="45" xfId="0" applyNumberFormat="1" applyBorder="1"/>
    <xf numFmtId="0" fontId="0" fillId="0" borderId="45" xfId="0" applyBorder="1"/>
    <xf numFmtId="170" fontId="0" fillId="0" borderId="45" xfId="0" applyNumberFormat="1" applyBorder="1"/>
    <xf numFmtId="0" fontId="0" fillId="0" borderId="46" xfId="0" applyBorder="1"/>
    <xf numFmtId="0" fontId="0" fillId="0" borderId="47" xfId="0" applyBorder="1"/>
    <xf numFmtId="164" fontId="0" fillId="0" borderId="47" xfId="0" applyNumberFormat="1" applyBorder="1"/>
    <xf numFmtId="0" fontId="3" fillId="0" borderId="47" xfId="0" applyFont="1" applyBorder="1"/>
    <xf numFmtId="164" fontId="0" fillId="0" borderId="48" xfId="0" applyNumberFormat="1" applyBorder="1"/>
    <xf numFmtId="0" fontId="2" fillId="56" borderId="41" xfId="0" applyFont="1" applyFill="1" applyBorder="1"/>
    <xf numFmtId="0" fontId="0" fillId="0" borderId="42" xfId="0" applyBorder="1" applyAlignment="1">
      <alignment horizontal="center"/>
    </xf>
    <xf numFmtId="0" fontId="0" fillId="0" borderId="42" xfId="0" applyBorder="1"/>
    <xf numFmtId="0" fontId="0" fillId="0" borderId="43" xfId="0" applyBorder="1"/>
    <xf numFmtId="0" fontId="2" fillId="0" borderId="44" xfId="0" applyFont="1" applyBorder="1" applyAlignment="1">
      <alignment vertical="top"/>
    </xf>
    <xf numFmtId="0" fontId="2" fillId="0" borderId="45" xfId="0" applyFont="1" applyBorder="1" applyAlignment="1">
      <alignment wrapText="1"/>
    </xf>
    <xf numFmtId="0" fontId="2" fillId="0" borderId="44" xfId="0" applyFont="1" applyBorder="1"/>
    <xf numFmtId="0" fontId="2" fillId="0" borderId="46" xfId="0" applyFont="1" applyBorder="1"/>
    <xf numFmtId="0" fontId="2" fillId="50" borderId="41" xfId="0" applyFont="1" applyFill="1" applyBorder="1"/>
    <xf numFmtId="0" fontId="0" fillId="0" borderId="49" xfId="0" applyBorder="1"/>
    <xf numFmtId="164" fontId="0" fillId="0" borderId="35" xfId="0" applyNumberFormat="1" applyBorder="1"/>
    <xf numFmtId="170" fontId="0" fillId="0" borderId="35" xfId="0" applyNumberFormat="1" applyBorder="1"/>
    <xf numFmtId="170" fontId="0" fillId="0" borderId="50" xfId="0" applyNumberFormat="1" applyBorder="1"/>
    <xf numFmtId="0" fontId="2" fillId="0" borderId="41" xfId="0" applyFont="1" applyBorder="1"/>
    <xf numFmtId="0" fontId="2" fillId="0" borderId="42" xfId="0" applyFont="1" applyBorder="1"/>
    <xf numFmtId="0" fontId="2" fillId="0" borderId="43" xfId="0" applyFont="1" applyBorder="1"/>
    <xf numFmtId="0" fontId="0" fillId="0" borderId="47" xfId="0" applyBorder="1" applyAlignment="1">
      <alignment wrapText="1"/>
    </xf>
    <xf numFmtId="0" fontId="45" fillId="0" borderId="45" xfId="126" applyBorder="1" applyAlignment="1">
      <alignment vertical="top"/>
    </xf>
    <xf numFmtId="0" fontId="45" fillId="0" borderId="45" xfId="126" applyFill="1" applyBorder="1" applyAlignment="1">
      <alignment vertical="top"/>
    </xf>
    <xf numFmtId="0" fontId="45" fillId="0" borderId="48" xfId="126" applyFill="1" applyBorder="1" applyAlignment="1">
      <alignment vertical="top"/>
    </xf>
    <xf numFmtId="0" fontId="2" fillId="0" borderId="46" xfId="0" applyFont="1" applyBorder="1" applyAlignment="1">
      <alignment vertical="top"/>
    </xf>
    <xf numFmtId="0" fontId="2" fillId="0" borderId="0" xfId="0" applyFont="1" applyAlignment="1">
      <alignment horizontal="right" vertical="center" wrapText="1"/>
    </xf>
    <xf numFmtId="0" fontId="2" fillId="0" borderId="25" xfId="0" applyFont="1" applyBorder="1" applyAlignment="1">
      <alignment horizontal="right" vertical="center" wrapText="1"/>
    </xf>
    <xf numFmtId="0" fontId="2" fillId="46" borderId="0" xfId="0" applyFont="1" applyFill="1" applyAlignment="1">
      <alignment horizontal="center" wrapText="1"/>
    </xf>
    <xf numFmtId="0" fontId="2" fillId="45" borderId="24" xfId="0" applyFont="1" applyFill="1" applyBorder="1" applyAlignment="1">
      <alignment horizontal="center" wrapText="1"/>
    </xf>
    <xf numFmtId="0" fontId="2" fillId="45" borderId="0" xfId="0" applyFont="1" applyFill="1" applyAlignment="1">
      <alignment horizontal="center" wrapText="1"/>
    </xf>
    <xf numFmtId="0" fontId="2" fillId="45" borderId="25" xfId="0" applyFont="1" applyFill="1" applyBorder="1" applyAlignment="1">
      <alignment horizontal="center" wrapText="1"/>
    </xf>
    <xf numFmtId="0" fontId="2" fillId="49" borderId="32" xfId="0" applyFont="1" applyFill="1" applyBorder="1" applyAlignment="1">
      <alignment horizontal="center"/>
    </xf>
    <xf numFmtId="0" fontId="2" fillId="49" borderId="33" xfId="0" applyFont="1" applyFill="1" applyBorder="1" applyAlignment="1">
      <alignment horizontal="center"/>
    </xf>
    <xf numFmtId="0" fontId="2" fillId="49" borderId="34" xfId="0" applyFont="1" applyFill="1" applyBorder="1" applyAlignment="1">
      <alignment horizontal="center"/>
    </xf>
    <xf numFmtId="0" fontId="2" fillId="54" borderId="32" xfId="0" applyFont="1" applyFill="1" applyBorder="1" applyAlignment="1">
      <alignment horizontal="center"/>
    </xf>
    <xf numFmtId="0" fontId="2" fillId="54" borderId="33" xfId="0" applyFont="1" applyFill="1" applyBorder="1" applyAlignment="1">
      <alignment horizontal="center"/>
    </xf>
    <xf numFmtId="0" fontId="2" fillId="54" borderId="34" xfId="0" applyFont="1" applyFill="1" applyBorder="1" applyAlignment="1">
      <alignment horizontal="center"/>
    </xf>
    <xf numFmtId="0" fontId="2" fillId="47" borderId="32" xfId="0" applyFont="1" applyFill="1" applyBorder="1" applyAlignment="1">
      <alignment horizontal="center"/>
    </xf>
    <xf numFmtId="0" fontId="2" fillId="47" borderId="33" xfId="0" applyFont="1" applyFill="1" applyBorder="1" applyAlignment="1">
      <alignment horizontal="center"/>
    </xf>
    <xf numFmtId="0" fontId="2" fillId="47" borderId="34" xfId="0" applyFont="1" applyFill="1" applyBorder="1" applyAlignment="1">
      <alignment horizontal="center"/>
    </xf>
    <xf numFmtId="0" fontId="2" fillId="48" borderId="30" xfId="0" applyFont="1" applyFill="1" applyBorder="1" applyAlignment="1">
      <alignment horizontal="center"/>
    </xf>
    <xf numFmtId="0" fontId="2" fillId="48" borderId="31" xfId="0" applyFont="1" applyFill="1" applyBorder="1" applyAlignment="1">
      <alignment horizontal="center"/>
    </xf>
    <xf numFmtId="0" fontId="2" fillId="51" borderId="32" xfId="0" applyFont="1" applyFill="1" applyBorder="1" applyAlignment="1">
      <alignment horizontal="center"/>
    </xf>
    <xf numFmtId="0" fontId="2" fillId="51" borderId="33" xfId="0" applyFont="1" applyFill="1" applyBorder="1" applyAlignment="1">
      <alignment horizontal="center"/>
    </xf>
    <xf numFmtId="0" fontId="2" fillId="51" borderId="34" xfId="0" applyFont="1" applyFill="1" applyBorder="1" applyAlignment="1">
      <alignment horizontal="center"/>
    </xf>
    <xf numFmtId="0" fontId="2" fillId="50" borderId="32" xfId="0" applyFont="1" applyFill="1" applyBorder="1" applyAlignment="1">
      <alignment horizontal="center"/>
    </xf>
    <xf numFmtId="0" fontId="2" fillId="50" borderId="33" xfId="0" applyFont="1" applyFill="1" applyBorder="1" applyAlignment="1">
      <alignment horizontal="center"/>
    </xf>
    <xf numFmtId="0" fontId="2" fillId="50" borderId="34" xfId="0" applyFont="1" applyFill="1" applyBorder="1" applyAlignment="1">
      <alignment horizontal="center"/>
    </xf>
    <xf numFmtId="0" fontId="2" fillId="53" borderId="32" xfId="0" applyFont="1" applyFill="1" applyBorder="1" applyAlignment="1">
      <alignment horizontal="center"/>
    </xf>
    <xf numFmtId="0" fontId="2" fillId="53" borderId="33" xfId="0" applyFont="1" applyFill="1" applyBorder="1" applyAlignment="1">
      <alignment horizontal="center"/>
    </xf>
    <xf numFmtId="0" fontId="2" fillId="53" borderId="34" xfId="0" applyFont="1" applyFill="1" applyBorder="1" applyAlignment="1">
      <alignment horizontal="center"/>
    </xf>
    <xf numFmtId="0" fontId="2" fillId="58" borderId="38" xfId="0" applyFont="1" applyFill="1" applyBorder="1" applyAlignment="1">
      <alignment horizontal="left" vertical="center" wrapText="1"/>
    </xf>
    <xf numFmtId="0" fontId="2" fillId="58" borderId="20" xfId="0" applyFont="1" applyFill="1" applyBorder="1" applyAlignment="1">
      <alignment horizontal="left" vertical="center" wrapText="1"/>
    </xf>
    <xf numFmtId="0" fontId="2" fillId="58" borderId="39" xfId="0" applyFont="1" applyFill="1" applyBorder="1" applyAlignment="1">
      <alignment horizontal="left" vertical="center" wrapText="1"/>
    </xf>
    <xf numFmtId="0" fontId="0" fillId="0" borderId="32" xfId="0" applyBorder="1" applyAlignment="1">
      <alignment horizontal="center"/>
    </xf>
    <xf numFmtId="0" fontId="0" fillId="0" borderId="33" xfId="0" applyBorder="1" applyAlignment="1">
      <alignment horizontal="center"/>
    </xf>
    <xf numFmtId="0" fontId="0" fillId="0" borderId="34" xfId="0" applyBorder="1" applyAlignment="1">
      <alignment horizontal="center"/>
    </xf>
    <xf numFmtId="0" fontId="0" fillId="55" borderId="38" xfId="0" applyFill="1" applyBorder="1" applyAlignment="1">
      <alignment horizontal="left"/>
    </xf>
    <xf numFmtId="0" fontId="0" fillId="55" borderId="20" xfId="0" applyFill="1" applyBorder="1" applyAlignment="1">
      <alignment horizontal="left"/>
    </xf>
    <xf numFmtId="0" fontId="0" fillId="55" borderId="39" xfId="0" applyFill="1" applyBorder="1" applyAlignment="1">
      <alignment horizontal="left"/>
    </xf>
    <xf numFmtId="0" fontId="2" fillId="46" borderId="25" xfId="0" applyFont="1" applyFill="1" applyBorder="1" applyAlignment="1">
      <alignment horizontal="center" wrapText="1"/>
    </xf>
    <xf numFmtId="0" fontId="0" fillId="0" borderId="0" xfId="0" applyAlignment="1">
      <alignment horizontal="center"/>
    </xf>
    <xf numFmtId="0" fontId="2" fillId="50" borderId="3" xfId="0" applyFont="1" applyFill="1" applyBorder="1" applyAlignment="1">
      <alignment horizontal="center"/>
    </xf>
    <xf numFmtId="0" fontId="2" fillId="49" borderId="3" xfId="0" applyFont="1" applyFill="1" applyBorder="1" applyAlignment="1">
      <alignment horizontal="center"/>
    </xf>
    <xf numFmtId="0" fontId="2" fillId="52" borderId="3" xfId="0" applyFont="1" applyFill="1" applyBorder="1" applyAlignment="1">
      <alignment horizontal="center"/>
    </xf>
    <xf numFmtId="0" fontId="2" fillId="55" borderId="38" xfId="0" applyFont="1" applyFill="1" applyBorder="1" applyAlignment="1">
      <alignment horizontal="center" wrapText="1"/>
    </xf>
    <xf numFmtId="0" fontId="2" fillId="55" borderId="20" xfId="0" applyFont="1" applyFill="1" applyBorder="1" applyAlignment="1">
      <alignment horizontal="center" wrapText="1"/>
    </xf>
    <xf numFmtId="0" fontId="2" fillId="55" borderId="39" xfId="0" applyFont="1" applyFill="1" applyBorder="1" applyAlignment="1">
      <alignment horizontal="center" wrapText="1"/>
    </xf>
    <xf numFmtId="0" fontId="0" fillId="57" borderId="38" xfId="0" applyFill="1" applyBorder="1" applyAlignment="1">
      <alignment horizontal="left" wrapText="1"/>
    </xf>
    <xf numFmtId="0" fontId="0" fillId="57" borderId="20" xfId="0" applyFill="1" applyBorder="1" applyAlignment="1">
      <alignment horizontal="left" wrapText="1"/>
    </xf>
    <xf numFmtId="0" fontId="0" fillId="57" borderId="39" xfId="0" applyFill="1" applyBorder="1" applyAlignment="1">
      <alignment horizontal="left" wrapText="1"/>
    </xf>
  </cellXfs>
  <cellStyles count="127">
    <cellStyle name="20% - Accent1 2" xfId="44" xr:uid="{00000000-0005-0000-0000-000000000000}"/>
    <cellStyle name="20% - Accent1 2 2" xfId="111" xr:uid="{00000000-0005-0000-0000-000001000000}"/>
    <cellStyle name="20% - Accent1 2 3" xfId="97" xr:uid="{00000000-0005-0000-0000-000002000000}"/>
    <cellStyle name="20% - Accent2 2" xfId="45" xr:uid="{00000000-0005-0000-0000-000003000000}"/>
    <cellStyle name="20% - Accent2 2 2" xfId="112" xr:uid="{00000000-0005-0000-0000-000004000000}"/>
    <cellStyle name="20% - Accent2 2 3" xfId="98" xr:uid="{00000000-0005-0000-0000-000005000000}"/>
    <cellStyle name="20% - Accent3 2" xfId="46" xr:uid="{00000000-0005-0000-0000-000006000000}"/>
    <cellStyle name="20% - Accent3 2 2" xfId="113" xr:uid="{00000000-0005-0000-0000-000007000000}"/>
    <cellStyle name="20% - Accent3 2 3" xfId="99" xr:uid="{00000000-0005-0000-0000-000008000000}"/>
    <cellStyle name="20% - Accent4 2" xfId="47" xr:uid="{00000000-0005-0000-0000-000009000000}"/>
    <cellStyle name="20% - Accent4 2 2" xfId="114" xr:uid="{00000000-0005-0000-0000-00000A000000}"/>
    <cellStyle name="20% - Accent4 2 3" xfId="100" xr:uid="{00000000-0005-0000-0000-00000B000000}"/>
    <cellStyle name="20% - Accent5 2" xfId="48" xr:uid="{00000000-0005-0000-0000-00000C000000}"/>
    <cellStyle name="20% - Accent5 2 2" xfId="115" xr:uid="{00000000-0005-0000-0000-00000D000000}"/>
    <cellStyle name="20% - Accent5 2 3" xfId="101" xr:uid="{00000000-0005-0000-0000-00000E000000}"/>
    <cellStyle name="20% - Accent6 2" xfId="49" xr:uid="{00000000-0005-0000-0000-00000F000000}"/>
    <cellStyle name="20% - Accent6 2 2" xfId="116" xr:uid="{00000000-0005-0000-0000-000010000000}"/>
    <cellStyle name="20% - Accent6 2 3" xfId="102" xr:uid="{00000000-0005-0000-0000-000011000000}"/>
    <cellStyle name="40% - Accent1 2" xfId="50" xr:uid="{00000000-0005-0000-0000-000012000000}"/>
    <cellStyle name="40% - Accent1 2 2" xfId="117" xr:uid="{00000000-0005-0000-0000-000013000000}"/>
    <cellStyle name="40% - Accent1 2 3" xfId="103" xr:uid="{00000000-0005-0000-0000-000014000000}"/>
    <cellStyle name="40% - Accent2 2" xfId="51" xr:uid="{00000000-0005-0000-0000-000015000000}"/>
    <cellStyle name="40% - Accent2 2 2" xfId="118" xr:uid="{00000000-0005-0000-0000-000016000000}"/>
    <cellStyle name="40% - Accent2 2 3" xfId="104" xr:uid="{00000000-0005-0000-0000-000017000000}"/>
    <cellStyle name="40% - Accent3 2" xfId="52" xr:uid="{00000000-0005-0000-0000-000018000000}"/>
    <cellStyle name="40% - Accent3 2 2" xfId="119" xr:uid="{00000000-0005-0000-0000-000019000000}"/>
    <cellStyle name="40% - Accent3 2 3" xfId="105" xr:uid="{00000000-0005-0000-0000-00001A000000}"/>
    <cellStyle name="40% - Accent4 2" xfId="53" xr:uid="{00000000-0005-0000-0000-00001B000000}"/>
    <cellStyle name="40% - Accent4 2 2" xfId="120" xr:uid="{00000000-0005-0000-0000-00001C000000}"/>
    <cellStyle name="40% - Accent4 2 3" xfId="106" xr:uid="{00000000-0005-0000-0000-00001D000000}"/>
    <cellStyle name="40% - Accent5 2" xfId="54" xr:uid="{00000000-0005-0000-0000-00001E000000}"/>
    <cellStyle name="40% - Accent5 2 2" xfId="121" xr:uid="{00000000-0005-0000-0000-00001F000000}"/>
    <cellStyle name="40% - Accent5 2 3" xfId="107" xr:uid="{00000000-0005-0000-0000-000020000000}"/>
    <cellStyle name="40% - Accent6 2" xfId="55" xr:uid="{00000000-0005-0000-0000-000021000000}"/>
    <cellStyle name="40% - Accent6 2 2" xfId="122" xr:uid="{00000000-0005-0000-0000-000022000000}"/>
    <cellStyle name="40% - Accent6 2 3" xfId="108" xr:uid="{00000000-0005-0000-0000-000023000000}"/>
    <cellStyle name="60% - Accent1 2" xfId="56" xr:uid="{00000000-0005-0000-0000-000024000000}"/>
    <cellStyle name="60% - Accent2 2" xfId="57" xr:uid="{00000000-0005-0000-0000-000025000000}"/>
    <cellStyle name="60% - Accent3 2" xfId="58" xr:uid="{00000000-0005-0000-0000-000026000000}"/>
    <cellStyle name="60% - Accent4 2" xfId="59" xr:uid="{00000000-0005-0000-0000-000027000000}"/>
    <cellStyle name="60% - Accent5 2" xfId="60" xr:uid="{00000000-0005-0000-0000-000028000000}"/>
    <cellStyle name="60% - Accent6 2" xfId="61" xr:uid="{00000000-0005-0000-0000-000029000000}"/>
    <cellStyle name="Accent1 2" xfId="62" xr:uid="{00000000-0005-0000-0000-00002A000000}"/>
    <cellStyle name="Accent2 2" xfId="63" xr:uid="{00000000-0005-0000-0000-00002B000000}"/>
    <cellStyle name="Accent3 2" xfId="64" xr:uid="{00000000-0005-0000-0000-00002C000000}"/>
    <cellStyle name="Accent4 2" xfId="65" xr:uid="{00000000-0005-0000-0000-00002D000000}"/>
    <cellStyle name="Accent5 2" xfId="66" xr:uid="{00000000-0005-0000-0000-00002E000000}"/>
    <cellStyle name="Accent6 2" xfId="67" xr:uid="{00000000-0005-0000-0000-00002F000000}"/>
    <cellStyle name="Ausgabe 2" xfId="86" xr:uid="{00000000-0005-0000-0000-000030000000}"/>
    <cellStyle name="Bad 2" xfId="68" xr:uid="{00000000-0005-0000-0000-000031000000}"/>
    <cellStyle name="Berechnung 2" xfId="69" xr:uid="{00000000-0005-0000-0000-000032000000}"/>
    <cellStyle name="Calculation 2" xfId="70" xr:uid="{00000000-0005-0000-0000-000033000000}"/>
    <cellStyle name="Check Cell 2" xfId="71" xr:uid="{00000000-0005-0000-0000-000034000000}"/>
    <cellStyle name="Eingabe 2" xfId="79" xr:uid="{00000000-0005-0000-0000-000035000000}"/>
    <cellStyle name="Erklärender Text 2" xfId="72" xr:uid="{00000000-0005-0000-0000-000036000000}"/>
    <cellStyle name="Euro" xfId="92" xr:uid="{00000000-0005-0000-0000-000037000000}"/>
    <cellStyle name="Euro 2" xfId="94" xr:uid="{00000000-0005-0000-0000-000038000000}"/>
    <cellStyle name="Explanatory Text 2" xfId="73" xr:uid="{00000000-0005-0000-0000-000039000000}"/>
    <cellStyle name="Good 2" xfId="74" xr:uid="{00000000-0005-0000-0000-00003A000000}"/>
    <cellStyle name="Heading 1 2" xfId="75" xr:uid="{00000000-0005-0000-0000-00003B000000}"/>
    <cellStyle name="Heading 2 2" xfId="76" xr:uid="{00000000-0005-0000-0000-00003C000000}"/>
    <cellStyle name="Heading 3 2" xfId="77" xr:uid="{00000000-0005-0000-0000-00003D000000}"/>
    <cellStyle name="Heading 4 2" xfId="78" xr:uid="{00000000-0005-0000-0000-00003E000000}"/>
    <cellStyle name="Hyperlink" xfId="126" builtinId="8"/>
    <cellStyle name="Input 2" xfId="80" xr:uid="{00000000-0005-0000-0000-00003F000000}"/>
    <cellStyle name="Linked Cell 2" xfId="81" xr:uid="{00000000-0005-0000-0000-000040000000}"/>
    <cellStyle name="Neutral 2" xfId="82" xr:uid="{00000000-0005-0000-0000-000041000000}"/>
    <cellStyle name="Normal" xfId="0" builtinId="0"/>
    <cellStyle name="Normal 2" xfId="2" xr:uid="{00000000-0005-0000-0000-000042000000}"/>
    <cellStyle name="Normal 2 2" xfId="91" xr:uid="{00000000-0005-0000-0000-000043000000}"/>
    <cellStyle name="Normal 2 2 2" xfId="125" xr:uid="{00000000-0005-0000-0000-000044000000}"/>
    <cellStyle name="Normal 2 2 3" xfId="123" xr:uid="{00000000-0005-0000-0000-000045000000}"/>
    <cellStyle name="Normal 2 3" xfId="109" xr:uid="{00000000-0005-0000-0000-000046000000}"/>
    <cellStyle name="Normal 2 4" xfId="83" xr:uid="{00000000-0005-0000-0000-000047000000}"/>
    <cellStyle name="Normal 3" xfId="3" xr:uid="{00000000-0005-0000-0000-000048000000}"/>
    <cellStyle name="Normal 3 2" xfId="95" xr:uid="{00000000-0005-0000-0000-000049000000}"/>
    <cellStyle name="Normal 4" xfId="4" xr:uid="{00000000-0005-0000-0000-00004A000000}"/>
    <cellStyle name="Normal 4 2" xfId="84" xr:uid="{00000000-0005-0000-0000-00004B000000}"/>
    <cellStyle name="Normal 5" xfId="5" xr:uid="{00000000-0005-0000-0000-00004C000000}"/>
    <cellStyle name="Normal 6" xfId="6" xr:uid="{00000000-0005-0000-0000-00004D000000}"/>
    <cellStyle name="Normal_Feuil1" xfId="7" xr:uid="{00000000-0005-0000-0000-00004E000000}"/>
    <cellStyle name="Note 2" xfId="85" xr:uid="{00000000-0005-0000-0000-00004F000000}"/>
    <cellStyle name="Note 2 2" xfId="124" xr:uid="{00000000-0005-0000-0000-000050000000}"/>
    <cellStyle name="Note 2 3" xfId="110" xr:uid="{00000000-0005-0000-0000-000051000000}"/>
    <cellStyle name="Output 2" xfId="87" xr:uid="{00000000-0005-0000-0000-000052000000}"/>
    <cellStyle name="Percent" xfId="1" builtinId="5"/>
    <cellStyle name="Percent 2" xfId="96" xr:uid="{00000000-0005-0000-0000-000053000000}"/>
    <cellStyle name="SAPBorder" xfId="8" xr:uid="{00000000-0005-0000-0000-000055000000}"/>
    <cellStyle name="SAPDataCell" xfId="9" xr:uid="{00000000-0005-0000-0000-000056000000}"/>
    <cellStyle name="SAPDataTotalCell" xfId="10" xr:uid="{00000000-0005-0000-0000-000057000000}"/>
    <cellStyle name="SAPDimensionCell" xfId="11" xr:uid="{00000000-0005-0000-0000-000058000000}"/>
    <cellStyle name="SAPEditableDataCell" xfId="12" xr:uid="{00000000-0005-0000-0000-000059000000}"/>
    <cellStyle name="SAPEditableDataTotalCell" xfId="13" xr:uid="{00000000-0005-0000-0000-00005A000000}"/>
    <cellStyle name="SAPEmphasized" xfId="14" xr:uid="{00000000-0005-0000-0000-00005B000000}"/>
    <cellStyle name="SAPEmphasizedEditableDataCell" xfId="15" xr:uid="{00000000-0005-0000-0000-00005C000000}"/>
    <cellStyle name="SAPEmphasizedEditableDataTotalCell" xfId="16" xr:uid="{00000000-0005-0000-0000-00005D000000}"/>
    <cellStyle name="SAPEmphasizedLockedDataCell" xfId="17" xr:uid="{00000000-0005-0000-0000-00005E000000}"/>
    <cellStyle name="SAPEmphasizedLockedDataTotalCell" xfId="18" xr:uid="{00000000-0005-0000-0000-00005F000000}"/>
    <cellStyle name="SAPEmphasizedReadonlyDataCell" xfId="19" xr:uid="{00000000-0005-0000-0000-000060000000}"/>
    <cellStyle name="SAPEmphasizedReadonlyDataTotalCell" xfId="20" xr:uid="{00000000-0005-0000-0000-000061000000}"/>
    <cellStyle name="SAPEmphasizedTotal" xfId="21" xr:uid="{00000000-0005-0000-0000-000062000000}"/>
    <cellStyle name="SAPExceptionLevel1" xfId="22" xr:uid="{00000000-0005-0000-0000-000063000000}"/>
    <cellStyle name="SAPExceptionLevel2" xfId="23" xr:uid="{00000000-0005-0000-0000-000064000000}"/>
    <cellStyle name="SAPExceptionLevel3" xfId="24" xr:uid="{00000000-0005-0000-0000-000065000000}"/>
    <cellStyle name="SAPExceptionLevel4" xfId="25" xr:uid="{00000000-0005-0000-0000-000066000000}"/>
    <cellStyle name="SAPExceptionLevel5" xfId="26" xr:uid="{00000000-0005-0000-0000-000067000000}"/>
    <cellStyle name="SAPExceptionLevel6" xfId="27" xr:uid="{00000000-0005-0000-0000-000068000000}"/>
    <cellStyle name="SAPExceptionLevel7" xfId="28" xr:uid="{00000000-0005-0000-0000-000069000000}"/>
    <cellStyle name="SAPExceptionLevel8" xfId="29" xr:uid="{00000000-0005-0000-0000-00006A000000}"/>
    <cellStyle name="SAPExceptionLevel9" xfId="30" xr:uid="{00000000-0005-0000-0000-00006B000000}"/>
    <cellStyle name="SAPHierarchyCell0" xfId="31" xr:uid="{00000000-0005-0000-0000-00006C000000}"/>
    <cellStyle name="SAPHierarchyCell1" xfId="32" xr:uid="{00000000-0005-0000-0000-00006D000000}"/>
    <cellStyle name="SAPHierarchyCell2" xfId="33" xr:uid="{00000000-0005-0000-0000-00006E000000}"/>
    <cellStyle name="SAPHierarchyCell3" xfId="34" xr:uid="{00000000-0005-0000-0000-00006F000000}"/>
    <cellStyle name="SAPHierarchyCell4" xfId="35" xr:uid="{00000000-0005-0000-0000-000070000000}"/>
    <cellStyle name="SAPLockedDataCell" xfId="36" xr:uid="{00000000-0005-0000-0000-000071000000}"/>
    <cellStyle name="SAPLockedDataTotalCell" xfId="37" xr:uid="{00000000-0005-0000-0000-000072000000}"/>
    <cellStyle name="SAPMemberCell" xfId="38" xr:uid="{00000000-0005-0000-0000-000073000000}"/>
    <cellStyle name="SAPMemberTotalCell" xfId="39" xr:uid="{00000000-0005-0000-0000-000074000000}"/>
    <cellStyle name="SAPReadonlyDataCell" xfId="40" xr:uid="{00000000-0005-0000-0000-000075000000}"/>
    <cellStyle name="SAPReadonlyDataTotalCell" xfId="41" xr:uid="{00000000-0005-0000-0000-000076000000}"/>
    <cellStyle name="Standard 2" xfId="42" xr:uid="{00000000-0005-0000-0000-000078000000}"/>
    <cellStyle name="Standard 3" xfId="43" xr:uid="{00000000-0005-0000-0000-000079000000}"/>
    <cellStyle name="Title 2" xfId="88" xr:uid="{00000000-0005-0000-0000-00007A000000}"/>
    <cellStyle name="Total 2" xfId="89" xr:uid="{00000000-0005-0000-0000-00007B000000}"/>
    <cellStyle name="Unbenannt1" xfId="93" xr:uid="{00000000-0005-0000-0000-00007C000000}"/>
    <cellStyle name="Warning Text 2" xfId="90" xr:uid="{00000000-0005-0000-0000-00007D000000}"/>
  </cellStyles>
  <dxfs count="2">
    <dxf>
      <fill>
        <patternFill>
          <bgColor rgb="FF92D05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7.png"/><Relationship Id="rId13" Type="http://schemas.openxmlformats.org/officeDocument/2006/relationships/image" Target="../media/image1.png"/><Relationship Id="rId3" Type="http://schemas.openxmlformats.org/officeDocument/2006/relationships/image" Target="../media/image3.png"/><Relationship Id="rId7" Type="http://schemas.openxmlformats.org/officeDocument/2006/relationships/image" Target="../media/image6.jpeg"/><Relationship Id="rId12" Type="http://schemas.openxmlformats.org/officeDocument/2006/relationships/hyperlink" Target="https://www.cropscience.bayer.com/who-we-are/transparency/information-about-operator-safety-standards%20" TargetMode="External"/><Relationship Id="rId2" Type="http://schemas.microsoft.com/office/2007/relationships/hdphoto" Target="../media/hdphoto1.wdp"/><Relationship Id="rId1" Type="http://schemas.openxmlformats.org/officeDocument/2006/relationships/image" Target="../media/image2.png"/><Relationship Id="rId6" Type="http://schemas.openxmlformats.org/officeDocument/2006/relationships/image" Target="../media/image5.png"/><Relationship Id="rId11" Type="http://schemas.openxmlformats.org/officeDocument/2006/relationships/image" Target="../media/image9.png"/><Relationship Id="rId5" Type="http://schemas.openxmlformats.org/officeDocument/2006/relationships/image" Target="../media/image4.png"/><Relationship Id="rId10" Type="http://schemas.openxmlformats.org/officeDocument/2006/relationships/image" Target="../media/image8.png"/><Relationship Id="rId4" Type="http://schemas.microsoft.com/office/2007/relationships/hdphoto" Target="../media/hdphoto2.wdp"/><Relationship Id="rId9" Type="http://schemas.microsoft.com/office/2007/relationships/hdphoto" Target="../media/hdphoto3.wdp"/><Relationship Id="rId14"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400050</xdr:colOff>
      <xdr:row>23</xdr:row>
      <xdr:rowOff>166471</xdr:rowOff>
    </xdr:to>
    <xdr:pic>
      <xdr:nvPicPr>
        <xdr:cNvPr id="2" name="Grafik 1">
          <a:extLst>
            <a:ext uri="{FF2B5EF4-FFF2-40B4-BE49-F238E27FC236}">
              <a16:creationId xmlns:a16="http://schemas.microsoft.com/office/drawing/2014/main" id="{7BEEB2C9-F108-49FA-BD79-050B59C80F69}"/>
            </a:ext>
          </a:extLst>
        </xdr:cNvPr>
        <xdr:cNvPicPr>
          <a:picLocks noChangeAspect="1"/>
        </xdr:cNvPicPr>
      </xdr:nvPicPr>
      <xdr:blipFill>
        <a:blip xmlns:r="http://schemas.openxmlformats.org/officeDocument/2006/relationships" r:embed="rId1"/>
        <a:stretch>
          <a:fillRect/>
        </a:stretch>
      </xdr:blipFill>
      <xdr:spPr>
        <a:xfrm>
          <a:off x="0" y="0"/>
          <a:ext cx="4464050" cy="567827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269117</xdr:colOff>
      <xdr:row>12</xdr:row>
      <xdr:rowOff>4535</xdr:rowOff>
    </xdr:from>
    <xdr:to>
      <xdr:col>4</xdr:col>
      <xdr:colOff>726726</xdr:colOff>
      <xdr:row>17</xdr:row>
      <xdr:rowOff>155319</xdr:rowOff>
    </xdr:to>
    <xdr:pic>
      <xdr:nvPicPr>
        <xdr:cNvPr id="29" name="Picture 4">
          <a:extLst>
            <a:ext uri="{FF2B5EF4-FFF2-40B4-BE49-F238E27FC236}">
              <a16:creationId xmlns:a16="http://schemas.microsoft.com/office/drawing/2014/main" id="{00000000-0008-0000-0000-00001D000000}"/>
            </a:ext>
          </a:extLst>
        </xdr:cNvPr>
        <xdr:cNvPicPr>
          <a:picLocks noChangeAspect="1" noChangeArrowheads="1"/>
        </xdr:cNvPicPr>
      </xdr:nvPicPr>
      <xdr:blipFill rotWithShape="1">
        <a:blip xmlns:r="http://schemas.openxmlformats.org/officeDocument/2006/relationships" r:embed="rId1" cstate="print">
          <a:clrChange>
            <a:clrFrom>
              <a:srgbClr val="FFFFFF"/>
            </a:clrFrom>
            <a:clrTo>
              <a:srgbClr val="FFFFFF">
                <a:alpha val="0"/>
              </a:srgbClr>
            </a:clrTo>
          </a:clrChange>
          <a:extLst>
            <a:ext uri="{BEBA8EAE-BF5A-486C-A8C5-ECC9F3942E4B}">
              <a14:imgProps xmlns:a14="http://schemas.microsoft.com/office/drawing/2010/main">
                <a14:imgLayer r:embed="rId2">
                  <a14:imgEffect>
                    <a14:sharpenSoften amount="-25000"/>
                  </a14:imgEffect>
                  <a14:imgEffect>
                    <a14:brightnessContrast bright="20000"/>
                  </a14:imgEffect>
                </a14:imgLayer>
              </a14:imgProps>
            </a:ext>
            <a:ext uri="{28A0092B-C50C-407E-A947-70E740481C1C}">
              <a14:useLocalDpi xmlns:a14="http://schemas.microsoft.com/office/drawing/2010/main" val="0"/>
            </a:ext>
          </a:extLst>
        </a:blip>
        <a:srcRect l="75810" r="7112"/>
        <a:stretch/>
      </xdr:blipFill>
      <xdr:spPr bwMode="auto">
        <a:xfrm>
          <a:off x="13073438" y="2467428"/>
          <a:ext cx="457609" cy="1069720"/>
        </a:xfrm>
        <a:prstGeom prst="rect">
          <a:avLst/>
        </a:prstGeom>
        <a:noFill/>
        <a:ln>
          <a:noFill/>
        </a:ln>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Lst>
      </xdr:spPr>
    </xdr:pic>
    <xdr:clientData/>
  </xdr:twoCellAnchor>
  <xdr:twoCellAnchor editAs="oneCell">
    <xdr:from>
      <xdr:col>5</xdr:col>
      <xdr:colOff>143478</xdr:colOff>
      <xdr:row>12</xdr:row>
      <xdr:rowOff>14665</xdr:rowOff>
    </xdr:from>
    <xdr:to>
      <xdr:col>5</xdr:col>
      <xdr:colOff>601087</xdr:colOff>
      <xdr:row>17</xdr:row>
      <xdr:rowOff>165449</xdr:rowOff>
    </xdr:to>
    <xdr:pic>
      <xdr:nvPicPr>
        <xdr:cNvPr id="30" name="Picture 4">
          <a:extLst>
            <a:ext uri="{FF2B5EF4-FFF2-40B4-BE49-F238E27FC236}">
              <a16:creationId xmlns:a16="http://schemas.microsoft.com/office/drawing/2014/main" id="{00000000-0008-0000-0000-00001E000000}"/>
            </a:ext>
          </a:extLst>
        </xdr:cNvPr>
        <xdr:cNvPicPr>
          <a:picLocks noChangeAspect="1" noChangeArrowheads="1"/>
        </xdr:cNvPicPr>
      </xdr:nvPicPr>
      <xdr:blipFill rotWithShape="1">
        <a:blip xmlns:r="http://schemas.openxmlformats.org/officeDocument/2006/relationships" r:embed="rId1" cstate="print">
          <a:clrChange>
            <a:clrFrom>
              <a:srgbClr val="FFFFFF"/>
            </a:clrFrom>
            <a:clrTo>
              <a:srgbClr val="FFFFFF">
                <a:alpha val="0"/>
              </a:srgbClr>
            </a:clrTo>
          </a:clrChange>
          <a:extLst>
            <a:ext uri="{BEBA8EAE-BF5A-486C-A8C5-ECC9F3942E4B}">
              <a14:imgProps xmlns:a14="http://schemas.microsoft.com/office/drawing/2010/main">
                <a14:imgLayer r:embed="rId2">
                  <a14:imgEffect>
                    <a14:sharpenSoften amount="-25000"/>
                  </a14:imgEffect>
                  <a14:imgEffect>
                    <a14:brightnessContrast bright="20000"/>
                  </a14:imgEffect>
                </a14:imgLayer>
              </a14:imgProps>
            </a:ext>
            <a:ext uri="{28A0092B-C50C-407E-A947-70E740481C1C}">
              <a14:useLocalDpi xmlns:a14="http://schemas.microsoft.com/office/drawing/2010/main" val="0"/>
            </a:ext>
          </a:extLst>
        </a:blip>
        <a:srcRect l="75810" r="7112"/>
        <a:stretch/>
      </xdr:blipFill>
      <xdr:spPr bwMode="auto">
        <a:xfrm>
          <a:off x="17231328" y="2481640"/>
          <a:ext cx="457609" cy="1077884"/>
        </a:xfrm>
        <a:prstGeom prst="rect">
          <a:avLst/>
        </a:prstGeom>
        <a:noFill/>
        <a:ln>
          <a:noFill/>
        </a:ln>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Lst>
      </xdr:spPr>
    </xdr:pic>
    <xdr:clientData/>
  </xdr:twoCellAnchor>
  <xdr:twoCellAnchor editAs="oneCell">
    <xdr:from>
      <xdr:col>7</xdr:col>
      <xdr:colOff>114903</xdr:colOff>
      <xdr:row>12</xdr:row>
      <xdr:rowOff>60929</xdr:rowOff>
    </xdr:from>
    <xdr:to>
      <xdr:col>7</xdr:col>
      <xdr:colOff>572512</xdr:colOff>
      <xdr:row>18</xdr:row>
      <xdr:rowOff>37088</xdr:rowOff>
    </xdr:to>
    <xdr:pic>
      <xdr:nvPicPr>
        <xdr:cNvPr id="64" name="Picture 4">
          <a:extLst>
            <a:ext uri="{FF2B5EF4-FFF2-40B4-BE49-F238E27FC236}">
              <a16:creationId xmlns:a16="http://schemas.microsoft.com/office/drawing/2014/main" id="{00000000-0008-0000-0000-000040000000}"/>
            </a:ext>
          </a:extLst>
        </xdr:cNvPr>
        <xdr:cNvPicPr>
          <a:picLocks noChangeAspect="1" noChangeArrowheads="1"/>
        </xdr:cNvPicPr>
      </xdr:nvPicPr>
      <xdr:blipFill rotWithShape="1">
        <a:blip xmlns:r="http://schemas.openxmlformats.org/officeDocument/2006/relationships" r:embed="rId3" cstate="print">
          <a:clrChange>
            <a:clrFrom>
              <a:srgbClr val="FFFFFF"/>
            </a:clrFrom>
            <a:clrTo>
              <a:srgbClr val="FFFFFF">
                <a:alpha val="0"/>
              </a:srgbClr>
            </a:clrTo>
          </a:clrChange>
          <a:extLst>
            <a:ext uri="{BEBA8EAE-BF5A-486C-A8C5-ECC9F3942E4B}">
              <a14:imgProps xmlns:a14="http://schemas.microsoft.com/office/drawing/2010/main">
                <a14:imgLayer r:embed="rId4">
                  <a14:imgEffect>
                    <a14:sharpenSoften amount="-25000"/>
                  </a14:imgEffect>
                  <a14:imgEffect>
                    <a14:brightnessContrast bright="20000"/>
                  </a14:imgEffect>
                </a14:imgLayer>
              </a14:imgProps>
            </a:ext>
            <a:ext uri="{28A0092B-C50C-407E-A947-70E740481C1C}">
              <a14:useLocalDpi xmlns:a14="http://schemas.microsoft.com/office/drawing/2010/main" val="0"/>
            </a:ext>
          </a:extLst>
        </a:blip>
        <a:srcRect l="75810" r="7112"/>
        <a:stretch/>
      </xdr:blipFill>
      <xdr:spPr bwMode="auto">
        <a:xfrm>
          <a:off x="24860853" y="2537429"/>
          <a:ext cx="457609" cy="1100109"/>
        </a:xfrm>
        <a:prstGeom prst="rect">
          <a:avLst/>
        </a:prstGeom>
        <a:noFill/>
        <a:ln>
          <a:noFill/>
        </a:ln>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Lst>
      </xdr:spPr>
    </xdr:pic>
    <xdr:clientData/>
  </xdr:twoCellAnchor>
  <xdr:twoCellAnchor editAs="oneCell">
    <xdr:from>
      <xdr:col>14</xdr:col>
      <xdr:colOff>84967</xdr:colOff>
      <xdr:row>12</xdr:row>
      <xdr:rowOff>11943</xdr:rowOff>
    </xdr:from>
    <xdr:to>
      <xdr:col>14</xdr:col>
      <xdr:colOff>542576</xdr:colOff>
      <xdr:row>17</xdr:row>
      <xdr:rowOff>162727</xdr:rowOff>
    </xdr:to>
    <xdr:pic>
      <xdr:nvPicPr>
        <xdr:cNvPr id="65" name="Picture 4">
          <a:extLst>
            <a:ext uri="{FF2B5EF4-FFF2-40B4-BE49-F238E27FC236}">
              <a16:creationId xmlns:a16="http://schemas.microsoft.com/office/drawing/2014/main" id="{00000000-0008-0000-0000-000041000000}"/>
            </a:ext>
          </a:extLst>
        </xdr:cNvPr>
        <xdr:cNvPicPr>
          <a:picLocks noChangeAspect="1" noChangeArrowheads="1"/>
        </xdr:cNvPicPr>
      </xdr:nvPicPr>
      <xdr:blipFill rotWithShape="1">
        <a:blip xmlns:r="http://schemas.openxmlformats.org/officeDocument/2006/relationships" r:embed="rId1" cstate="print">
          <a:clrChange>
            <a:clrFrom>
              <a:srgbClr val="FFFFFF"/>
            </a:clrFrom>
            <a:clrTo>
              <a:srgbClr val="FFFFFF">
                <a:alpha val="0"/>
              </a:srgbClr>
            </a:clrTo>
          </a:clrChange>
          <a:extLst>
            <a:ext uri="{BEBA8EAE-BF5A-486C-A8C5-ECC9F3942E4B}">
              <a14:imgProps xmlns:a14="http://schemas.microsoft.com/office/drawing/2010/main">
                <a14:imgLayer r:embed="rId2">
                  <a14:imgEffect>
                    <a14:sharpenSoften amount="-25000"/>
                  </a14:imgEffect>
                  <a14:imgEffect>
                    <a14:brightnessContrast bright="20000"/>
                  </a14:imgEffect>
                </a14:imgLayer>
              </a14:imgProps>
            </a:ext>
            <a:ext uri="{28A0092B-C50C-407E-A947-70E740481C1C}">
              <a14:useLocalDpi xmlns:a14="http://schemas.microsoft.com/office/drawing/2010/main" val="0"/>
            </a:ext>
          </a:extLst>
        </a:blip>
        <a:srcRect l="75810" r="7112"/>
        <a:stretch/>
      </xdr:blipFill>
      <xdr:spPr bwMode="auto">
        <a:xfrm>
          <a:off x="30898342" y="2478918"/>
          <a:ext cx="457609" cy="1077884"/>
        </a:xfrm>
        <a:prstGeom prst="rect">
          <a:avLst/>
        </a:prstGeom>
        <a:noFill/>
        <a:ln>
          <a:noFill/>
        </a:ln>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Lst>
      </xdr:spPr>
    </xdr:pic>
    <xdr:clientData/>
  </xdr:twoCellAnchor>
  <xdr:twoCellAnchor editAs="oneCell">
    <xdr:from>
      <xdr:col>5</xdr:col>
      <xdr:colOff>668113</xdr:colOff>
      <xdr:row>12</xdr:row>
      <xdr:rowOff>35379</xdr:rowOff>
    </xdr:from>
    <xdr:to>
      <xdr:col>5</xdr:col>
      <xdr:colOff>1001846</xdr:colOff>
      <xdr:row>14</xdr:row>
      <xdr:rowOff>20729</xdr:rowOff>
    </xdr:to>
    <xdr:pic>
      <xdr:nvPicPr>
        <xdr:cNvPr id="77" name="Grafik 76">
          <a:extLst>
            <a:ext uri="{FF2B5EF4-FFF2-40B4-BE49-F238E27FC236}">
              <a16:creationId xmlns:a16="http://schemas.microsoft.com/office/drawing/2014/main" id="{00000000-0008-0000-0000-00004D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blip>
        <a:stretch>
          <a:fillRect/>
        </a:stretch>
      </xdr:blipFill>
      <xdr:spPr>
        <a:xfrm>
          <a:off x="17755963" y="2502354"/>
          <a:ext cx="333733" cy="360000"/>
        </a:xfrm>
        <a:prstGeom prst="rect">
          <a:avLst/>
        </a:prstGeom>
      </xdr:spPr>
    </xdr:pic>
    <xdr:clientData/>
  </xdr:twoCellAnchor>
  <xdr:twoCellAnchor editAs="oneCell">
    <xdr:from>
      <xdr:col>7</xdr:col>
      <xdr:colOff>571500</xdr:colOff>
      <xdr:row>15</xdr:row>
      <xdr:rowOff>81643</xdr:rowOff>
    </xdr:from>
    <xdr:to>
      <xdr:col>7</xdr:col>
      <xdr:colOff>942505</xdr:colOff>
      <xdr:row>17</xdr:row>
      <xdr:rowOff>83775</xdr:rowOff>
    </xdr:to>
    <xdr:pic>
      <xdr:nvPicPr>
        <xdr:cNvPr id="78" name="Grafik 77">
          <a:extLst>
            <a:ext uri="{FF2B5EF4-FFF2-40B4-BE49-F238E27FC236}">
              <a16:creationId xmlns:a16="http://schemas.microsoft.com/office/drawing/2014/main" id="{00000000-0008-0000-0000-00004E000000}"/>
            </a:ext>
          </a:extLst>
        </xdr:cNvPr>
        <xdr:cNvPicPr>
          <a:picLocks noChangeAspect="1"/>
        </xdr:cNvPicPr>
      </xdr:nvPicPr>
      <xdr:blipFill>
        <a:blip xmlns:r="http://schemas.openxmlformats.org/officeDocument/2006/relationships" r:embed="rId6">
          <a:clrChange>
            <a:clrFrom>
              <a:srgbClr val="FFFFFF"/>
            </a:clrFrom>
            <a:clrTo>
              <a:srgbClr val="FFFFFF">
                <a:alpha val="0"/>
              </a:srgbClr>
            </a:clrTo>
          </a:clrChange>
        </a:blip>
        <a:stretch>
          <a:fillRect/>
        </a:stretch>
      </xdr:blipFill>
      <xdr:spPr>
        <a:xfrm>
          <a:off x="18697575" y="3110593"/>
          <a:ext cx="371005" cy="364082"/>
        </a:xfrm>
        <a:prstGeom prst="rect">
          <a:avLst/>
        </a:prstGeom>
      </xdr:spPr>
    </xdr:pic>
    <xdr:clientData/>
  </xdr:twoCellAnchor>
  <xdr:twoCellAnchor editAs="oneCell">
    <xdr:from>
      <xdr:col>14</xdr:col>
      <xdr:colOff>647700</xdr:colOff>
      <xdr:row>12</xdr:row>
      <xdr:rowOff>50223</xdr:rowOff>
    </xdr:from>
    <xdr:to>
      <xdr:col>14</xdr:col>
      <xdr:colOff>981433</xdr:colOff>
      <xdr:row>14</xdr:row>
      <xdr:rowOff>36439</xdr:rowOff>
    </xdr:to>
    <xdr:pic>
      <xdr:nvPicPr>
        <xdr:cNvPr id="79" name="Grafik 78">
          <a:extLst>
            <a:ext uri="{FF2B5EF4-FFF2-40B4-BE49-F238E27FC236}">
              <a16:creationId xmlns:a16="http://schemas.microsoft.com/office/drawing/2014/main" id="{00000000-0008-0000-0000-00004F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blip>
        <a:stretch>
          <a:fillRect/>
        </a:stretch>
      </xdr:blipFill>
      <xdr:spPr>
        <a:xfrm>
          <a:off x="31461075" y="2517198"/>
          <a:ext cx="333733" cy="360866"/>
        </a:xfrm>
        <a:prstGeom prst="rect">
          <a:avLst/>
        </a:prstGeom>
      </xdr:spPr>
    </xdr:pic>
    <xdr:clientData/>
  </xdr:twoCellAnchor>
  <xdr:twoCellAnchor editAs="oneCell">
    <xdr:from>
      <xdr:col>14</xdr:col>
      <xdr:colOff>678994</xdr:colOff>
      <xdr:row>15</xdr:row>
      <xdr:rowOff>117021</xdr:rowOff>
    </xdr:from>
    <xdr:to>
      <xdr:col>14</xdr:col>
      <xdr:colOff>1049999</xdr:colOff>
      <xdr:row>17</xdr:row>
      <xdr:rowOff>119153</xdr:rowOff>
    </xdr:to>
    <xdr:pic>
      <xdr:nvPicPr>
        <xdr:cNvPr id="80" name="Grafik 79">
          <a:extLst>
            <a:ext uri="{FF2B5EF4-FFF2-40B4-BE49-F238E27FC236}">
              <a16:creationId xmlns:a16="http://schemas.microsoft.com/office/drawing/2014/main" id="{00000000-0008-0000-0000-000050000000}"/>
            </a:ext>
          </a:extLst>
        </xdr:cNvPr>
        <xdr:cNvPicPr>
          <a:picLocks noChangeAspect="1"/>
        </xdr:cNvPicPr>
      </xdr:nvPicPr>
      <xdr:blipFill>
        <a:blip xmlns:r="http://schemas.openxmlformats.org/officeDocument/2006/relationships" r:embed="rId6">
          <a:clrChange>
            <a:clrFrom>
              <a:srgbClr val="FFFFFF"/>
            </a:clrFrom>
            <a:clrTo>
              <a:srgbClr val="FFFFFF">
                <a:alpha val="0"/>
              </a:srgbClr>
            </a:clrTo>
          </a:clrChange>
        </a:blip>
        <a:stretch>
          <a:fillRect/>
        </a:stretch>
      </xdr:blipFill>
      <xdr:spPr>
        <a:xfrm>
          <a:off x="31492369" y="3145971"/>
          <a:ext cx="371005" cy="364082"/>
        </a:xfrm>
        <a:prstGeom prst="rect">
          <a:avLst/>
        </a:prstGeom>
      </xdr:spPr>
    </xdr:pic>
    <xdr:clientData/>
  </xdr:twoCellAnchor>
  <xdr:twoCellAnchor editAs="oneCell">
    <xdr:from>
      <xdr:col>6</xdr:col>
      <xdr:colOff>169672</xdr:colOff>
      <xdr:row>12</xdr:row>
      <xdr:rowOff>26571</xdr:rowOff>
    </xdr:from>
    <xdr:to>
      <xdr:col>6</xdr:col>
      <xdr:colOff>627281</xdr:colOff>
      <xdr:row>17</xdr:row>
      <xdr:rowOff>177355</xdr:rowOff>
    </xdr:to>
    <xdr:pic>
      <xdr:nvPicPr>
        <xdr:cNvPr id="31" name="Picture 4">
          <a:extLst>
            <a:ext uri="{FF2B5EF4-FFF2-40B4-BE49-F238E27FC236}">
              <a16:creationId xmlns:a16="http://schemas.microsoft.com/office/drawing/2014/main" id="{00000000-0008-0000-0000-00001F000000}"/>
            </a:ext>
          </a:extLst>
        </xdr:cNvPr>
        <xdr:cNvPicPr>
          <a:picLocks noChangeAspect="1" noChangeArrowheads="1"/>
        </xdr:cNvPicPr>
      </xdr:nvPicPr>
      <xdr:blipFill rotWithShape="1">
        <a:blip xmlns:r="http://schemas.openxmlformats.org/officeDocument/2006/relationships" r:embed="rId1" cstate="print">
          <a:clrChange>
            <a:clrFrom>
              <a:srgbClr val="FFFFFF"/>
            </a:clrFrom>
            <a:clrTo>
              <a:srgbClr val="FFFFFF">
                <a:alpha val="0"/>
              </a:srgbClr>
            </a:clrTo>
          </a:clrChange>
          <a:extLst>
            <a:ext uri="{BEBA8EAE-BF5A-486C-A8C5-ECC9F3942E4B}">
              <a14:imgProps xmlns:a14="http://schemas.microsoft.com/office/drawing/2010/main">
                <a14:imgLayer r:embed="rId2">
                  <a14:imgEffect>
                    <a14:sharpenSoften amount="-25000"/>
                  </a14:imgEffect>
                  <a14:imgEffect>
                    <a14:brightnessContrast bright="20000"/>
                  </a14:imgEffect>
                </a14:imgLayer>
              </a14:imgProps>
            </a:ext>
            <a:ext uri="{28A0092B-C50C-407E-A947-70E740481C1C}">
              <a14:useLocalDpi xmlns:a14="http://schemas.microsoft.com/office/drawing/2010/main" val="0"/>
            </a:ext>
          </a:extLst>
        </a:blip>
        <a:srcRect l="75810" r="7112"/>
        <a:stretch/>
      </xdr:blipFill>
      <xdr:spPr bwMode="auto">
        <a:xfrm>
          <a:off x="23343997" y="2503071"/>
          <a:ext cx="457609" cy="1084234"/>
        </a:xfrm>
        <a:prstGeom prst="rect">
          <a:avLst/>
        </a:prstGeom>
        <a:noFill/>
        <a:ln>
          <a:noFill/>
        </a:ln>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Lst>
      </xdr:spPr>
    </xdr:pic>
    <xdr:clientData/>
  </xdr:twoCellAnchor>
  <xdr:twoCellAnchor editAs="oneCell">
    <xdr:from>
      <xdr:col>7</xdr:col>
      <xdr:colOff>589532</xdr:colOff>
      <xdr:row>12</xdr:row>
      <xdr:rowOff>142535</xdr:rowOff>
    </xdr:from>
    <xdr:to>
      <xdr:col>7</xdr:col>
      <xdr:colOff>923265</xdr:colOff>
      <xdr:row>14</xdr:row>
      <xdr:rowOff>127885</xdr:rowOff>
    </xdr:to>
    <xdr:pic>
      <xdr:nvPicPr>
        <xdr:cNvPr id="32" name="Grafik 31">
          <a:extLst>
            <a:ext uri="{FF2B5EF4-FFF2-40B4-BE49-F238E27FC236}">
              <a16:creationId xmlns:a16="http://schemas.microsoft.com/office/drawing/2014/main" id="{00000000-0008-0000-0000-000020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blip>
        <a:stretch>
          <a:fillRect/>
        </a:stretch>
      </xdr:blipFill>
      <xdr:spPr>
        <a:xfrm>
          <a:off x="25116407" y="2609510"/>
          <a:ext cx="333733" cy="360000"/>
        </a:xfrm>
        <a:prstGeom prst="rect">
          <a:avLst/>
        </a:prstGeom>
      </xdr:spPr>
    </xdr:pic>
    <xdr:clientData/>
  </xdr:twoCellAnchor>
  <xdr:twoCellAnchor editAs="oneCell">
    <xdr:from>
      <xdr:col>8</xdr:col>
      <xdr:colOff>897731</xdr:colOff>
      <xdr:row>11</xdr:row>
      <xdr:rowOff>71438</xdr:rowOff>
    </xdr:from>
    <xdr:to>
      <xdr:col>8</xdr:col>
      <xdr:colOff>1504950</xdr:colOff>
      <xdr:row>14</xdr:row>
      <xdr:rowOff>107391</xdr:rowOff>
    </xdr:to>
    <xdr:pic>
      <xdr:nvPicPr>
        <xdr:cNvPr id="34" name="Grafik 33" descr="Bildergebnis für apron pesticide">
          <a:extLst>
            <a:ext uri="{FF2B5EF4-FFF2-40B4-BE49-F238E27FC236}">
              <a16:creationId xmlns:a16="http://schemas.microsoft.com/office/drawing/2014/main" id="{00000000-0008-0000-0000-000022000000}"/>
            </a:ext>
          </a:extLst>
        </xdr:cNvPr>
        <xdr:cNvPicPr>
          <a:picLocks noChangeAspect="1" noChangeArrowheads="1"/>
        </xdr:cNvPicPr>
      </xdr:nvPicPr>
      <xdr:blipFill>
        <a:blip xmlns:r="http://schemas.openxmlformats.org/officeDocument/2006/relationships" r:embed="rId7"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6996231" y="2328863"/>
          <a:ext cx="607219" cy="6042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888206</xdr:colOff>
      <xdr:row>11</xdr:row>
      <xdr:rowOff>92868</xdr:rowOff>
    </xdr:from>
    <xdr:to>
      <xdr:col>13</xdr:col>
      <xdr:colOff>1495425</xdr:colOff>
      <xdr:row>14</xdr:row>
      <xdr:rowOff>128821</xdr:rowOff>
    </xdr:to>
    <xdr:pic>
      <xdr:nvPicPr>
        <xdr:cNvPr id="35" name="Grafik 34" descr="Bildergebnis für apron pesticide">
          <a:extLst>
            <a:ext uri="{FF2B5EF4-FFF2-40B4-BE49-F238E27FC236}">
              <a16:creationId xmlns:a16="http://schemas.microsoft.com/office/drawing/2014/main" id="{00000000-0008-0000-0000-000023000000}"/>
            </a:ext>
          </a:extLst>
        </xdr:cNvPr>
        <xdr:cNvPicPr>
          <a:picLocks noChangeAspect="1" noChangeArrowheads="1"/>
        </xdr:cNvPicPr>
      </xdr:nvPicPr>
      <xdr:blipFill>
        <a:blip xmlns:r="http://schemas.openxmlformats.org/officeDocument/2006/relationships" r:embed="rId7"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0129956" y="2350293"/>
          <a:ext cx="607219" cy="6042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105208</xdr:colOff>
      <xdr:row>12</xdr:row>
      <xdr:rowOff>26911</xdr:rowOff>
    </xdr:from>
    <xdr:to>
      <xdr:col>8</xdr:col>
      <xdr:colOff>562817</xdr:colOff>
      <xdr:row>17</xdr:row>
      <xdr:rowOff>177695</xdr:rowOff>
    </xdr:to>
    <xdr:pic>
      <xdr:nvPicPr>
        <xdr:cNvPr id="36" name="Picture 4">
          <a:extLst>
            <a:ext uri="{FF2B5EF4-FFF2-40B4-BE49-F238E27FC236}">
              <a16:creationId xmlns:a16="http://schemas.microsoft.com/office/drawing/2014/main" id="{00000000-0008-0000-0000-000024000000}"/>
            </a:ext>
          </a:extLst>
        </xdr:cNvPr>
        <xdr:cNvPicPr>
          <a:picLocks noChangeAspect="1" noChangeArrowheads="1"/>
        </xdr:cNvPicPr>
      </xdr:nvPicPr>
      <xdr:blipFill rotWithShape="1">
        <a:blip xmlns:r="http://schemas.openxmlformats.org/officeDocument/2006/relationships" r:embed="rId1" cstate="print">
          <a:clrChange>
            <a:clrFrom>
              <a:srgbClr val="FFFFFF"/>
            </a:clrFrom>
            <a:clrTo>
              <a:srgbClr val="FFFFFF">
                <a:alpha val="0"/>
              </a:srgbClr>
            </a:clrTo>
          </a:clrChange>
          <a:extLst>
            <a:ext uri="{BEBA8EAE-BF5A-486C-A8C5-ECC9F3942E4B}">
              <a14:imgProps xmlns:a14="http://schemas.microsoft.com/office/drawing/2010/main">
                <a14:imgLayer r:embed="rId2">
                  <a14:imgEffect>
                    <a14:sharpenSoften amount="-25000"/>
                  </a14:imgEffect>
                  <a14:imgEffect>
                    <a14:brightnessContrast bright="20000"/>
                  </a14:imgEffect>
                </a14:imgLayer>
              </a14:imgProps>
            </a:ext>
            <a:ext uri="{28A0092B-C50C-407E-A947-70E740481C1C}">
              <a14:useLocalDpi xmlns:a14="http://schemas.microsoft.com/office/drawing/2010/main" val="0"/>
            </a:ext>
          </a:extLst>
        </a:blip>
        <a:srcRect l="75810" r="7112"/>
        <a:stretch/>
      </xdr:blipFill>
      <xdr:spPr bwMode="auto">
        <a:xfrm>
          <a:off x="26203708" y="2491505"/>
          <a:ext cx="457609" cy="1073121"/>
        </a:xfrm>
        <a:prstGeom prst="rect">
          <a:avLst/>
        </a:prstGeom>
        <a:noFill/>
        <a:ln>
          <a:noFill/>
        </a:ln>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Lst>
      </xdr:spPr>
    </xdr:pic>
    <xdr:clientData/>
  </xdr:twoCellAnchor>
  <xdr:twoCellAnchor editAs="oneCell">
    <xdr:from>
      <xdr:col>8</xdr:col>
      <xdr:colOff>610791</xdr:colOff>
      <xdr:row>12</xdr:row>
      <xdr:rowOff>84241</xdr:rowOff>
    </xdr:from>
    <xdr:to>
      <xdr:col>8</xdr:col>
      <xdr:colOff>944524</xdr:colOff>
      <xdr:row>14</xdr:row>
      <xdr:rowOff>70457</xdr:rowOff>
    </xdr:to>
    <xdr:pic>
      <xdr:nvPicPr>
        <xdr:cNvPr id="37" name="Grafik 36">
          <a:extLst>
            <a:ext uri="{FF2B5EF4-FFF2-40B4-BE49-F238E27FC236}">
              <a16:creationId xmlns:a16="http://schemas.microsoft.com/office/drawing/2014/main" id="{00000000-0008-0000-0000-000025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blip>
        <a:stretch>
          <a:fillRect/>
        </a:stretch>
      </xdr:blipFill>
      <xdr:spPr>
        <a:xfrm>
          <a:off x="26709291" y="2548835"/>
          <a:ext cx="333733" cy="360866"/>
        </a:xfrm>
        <a:prstGeom prst="rect">
          <a:avLst/>
        </a:prstGeom>
      </xdr:spPr>
    </xdr:pic>
    <xdr:clientData/>
  </xdr:twoCellAnchor>
  <xdr:twoCellAnchor editAs="oneCell">
    <xdr:from>
      <xdr:col>13</xdr:col>
      <xdr:colOff>603985</xdr:colOff>
      <xdr:row>15</xdr:row>
      <xdr:rowOff>55789</xdr:rowOff>
    </xdr:from>
    <xdr:to>
      <xdr:col>13</xdr:col>
      <xdr:colOff>974990</xdr:colOff>
      <xdr:row>17</xdr:row>
      <xdr:rowOff>57921</xdr:rowOff>
    </xdr:to>
    <xdr:pic>
      <xdr:nvPicPr>
        <xdr:cNvPr id="38" name="Grafik 37">
          <a:extLst>
            <a:ext uri="{FF2B5EF4-FFF2-40B4-BE49-F238E27FC236}">
              <a16:creationId xmlns:a16="http://schemas.microsoft.com/office/drawing/2014/main" id="{00000000-0008-0000-0000-000026000000}"/>
            </a:ext>
          </a:extLst>
        </xdr:cNvPr>
        <xdr:cNvPicPr>
          <a:picLocks noChangeAspect="1"/>
        </xdr:cNvPicPr>
      </xdr:nvPicPr>
      <xdr:blipFill>
        <a:blip xmlns:r="http://schemas.openxmlformats.org/officeDocument/2006/relationships" r:embed="rId6">
          <a:clrChange>
            <a:clrFrom>
              <a:srgbClr val="FFFFFF"/>
            </a:clrFrom>
            <a:clrTo>
              <a:srgbClr val="FFFFFF">
                <a:alpha val="0"/>
              </a:srgbClr>
            </a:clrTo>
          </a:clrChange>
        </a:blip>
        <a:stretch>
          <a:fillRect/>
        </a:stretch>
      </xdr:blipFill>
      <xdr:spPr>
        <a:xfrm>
          <a:off x="29845735" y="3084739"/>
          <a:ext cx="371005" cy="364082"/>
        </a:xfrm>
        <a:prstGeom prst="rect">
          <a:avLst/>
        </a:prstGeom>
      </xdr:spPr>
    </xdr:pic>
    <xdr:clientData/>
  </xdr:twoCellAnchor>
  <xdr:twoCellAnchor editAs="oneCell">
    <xdr:from>
      <xdr:col>21</xdr:col>
      <xdr:colOff>0</xdr:colOff>
      <xdr:row>6</xdr:row>
      <xdr:rowOff>0</xdr:rowOff>
    </xdr:from>
    <xdr:to>
      <xdr:col>21</xdr:col>
      <xdr:colOff>3525308</xdr:colOff>
      <xdr:row>21</xdr:row>
      <xdr:rowOff>268968</xdr:rowOff>
    </xdr:to>
    <xdr:sp macro="" textlink="">
      <xdr:nvSpPr>
        <xdr:cNvPr id="1028" name="AutoShape 4" descr="Bildergebnis für easy flow">
          <a:extLst>
            <a:ext uri="{FF2B5EF4-FFF2-40B4-BE49-F238E27FC236}">
              <a16:creationId xmlns:a16="http://schemas.microsoft.com/office/drawing/2014/main" id="{00000000-0008-0000-0000-000004040000}"/>
            </a:ext>
          </a:extLst>
        </xdr:cNvPr>
        <xdr:cNvSpPr>
          <a:spLocks noChangeAspect="1" noChangeArrowheads="1"/>
        </xdr:cNvSpPr>
      </xdr:nvSpPr>
      <xdr:spPr bwMode="auto">
        <a:xfrm>
          <a:off x="31318200" y="1133475"/>
          <a:ext cx="3533775" cy="45529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226823</xdr:colOff>
      <xdr:row>12</xdr:row>
      <xdr:rowOff>36097</xdr:rowOff>
    </xdr:from>
    <xdr:to>
      <xdr:col>9</xdr:col>
      <xdr:colOff>664013</xdr:colOff>
      <xdr:row>17</xdr:row>
      <xdr:rowOff>138642</xdr:rowOff>
    </xdr:to>
    <xdr:pic>
      <xdr:nvPicPr>
        <xdr:cNvPr id="39" name="Picture 4">
          <a:extLst>
            <a:ext uri="{FF2B5EF4-FFF2-40B4-BE49-F238E27FC236}">
              <a16:creationId xmlns:a16="http://schemas.microsoft.com/office/drawing/2014/main" id="{00000000-0008-0000-0000-000027000000}"/>
            </a:ext>
          </a:extLst>
        </xdr:cNvPr>
        <xdr:cNvPicPr>
          <a:picLocks noChangeAspect="1" noChangeArrowheads="1"/>
        </xdr:cNvPicPr>
      </xdr:nvPicPr>
      <xdr:blipFill rotWithShape="1">
        <a:blip xmlns:r="http://schemas.openxmlformats.org/officeDocument/2006/relationships" r:embed="rId8" cstate="print">
          <a:clrChange>
            <a:clrFrom>
              <a:srgbClr val="FFFFFF"/>
            </a:clrFrom>
            <a:clrTo>
              <a:srgbClr val="FFFFFF">
                <a:alpha val="0"/>
              </a:srgbClr>
            </a:clrTo>
          </a:clrChange>
          <a:extLst>
            <a:ext uri="{BEBA8EAE-BF5A-486C-A8C5-ECC9F3942E4B}">
              <a14:imgProps xmlns:a14="http://schemas.microsoft.com/office/drawing/2010/main">
                <a14:imgLayer r:embed="rId9">
                  <a14:imgEffect>
                    <a14:sharpenSoften amount="-25000"/>
                  </a14:imgEffect>
                  <a14:imgEffect>
                    <a14:brightnessContrast bright="20000"/>
                  </a14:imgEffect>
                </a14:imgLayer>
              </a14:imgProps>
            </a:ext>
            <a:ext uri="{28A0092B-C50C-407E-A947-70E740481C1C}">
              <a14:useLocalDpi xmlns:a14="http://schemas.microsoft.com/office/drawing/2010/main" val="0"/>
            </a:ext>
          </a:extLst>
        </a:blip>
        <a:srcRect l="75810" r="7112"/>
        <a:stretch/>
      </xdr:blipFill>
      <xdr:spPr bwMode="auto">
        <a:xfrm>
          <a:off x="28198573" y="2502014"/>
          <a:ext cx="437190" cy="1032820"/>
        </a:xfrm>
        <a:prstGeom prst="rect">
          <a:avLst/>
        </a:prstGeom>
        <a:noFill/>
        <a:ln>
          <a:noFill/>
        </a:ln>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Lst>
      </xdr:spPr>
    </xdr:pic>
    <xdr:clientData/>
  </xdr:twoCellAnchor>
  <xdr:twoCellAnchor editAs="oneCell">
    <xdr:from>
      <xdr:col>13</xdr:col>
      <xdr:colOff>112522</xdr:colOff>
      <xdr:row>12</xdr:row>
      <xdr:rowOff>7521</xdr:rowOff>
    </xdr:from>
    <xdr:to>
      <xdr:col>13</xdr:col>
      <xdr:colOff>570131</xdr:colOff>
      <xdr:row>17</xdr:row>
      <xdr:rowOff>158305</xdr:rowOff>
    </xdr:to>
    <xdr:pic>
      <xdr:nvPicPr>
        <xdr:cNvPr id="42" name="Picture 4">
          <a:extLst>
            <a:ext uri="{FF2B5EF4-FFF2-40B4-BE49-F238E27FC236}">
              <a16:creationId xmlns:a16="http://schemas.microsoft.com/office/drawing/2014/main" id="{00000000-0008-0000-0000-00002A000000}"/>
            </a:ext>
          </a:extLst>
        </xdr:cNvPr>
        <xdr:cNvPicPr>
          <a:picLocks noChangeAspect="1" noChangeArrowheads="1"/>
        </xdr:cNvPicPr>
      </xdr:nvPicPr>
      <xdr:blipFill rotWithShape="1">
        <a:blip xmlns:r="http://schemas.openxmlformats.org/officeDocument/2006/relationships" r:embed="rId1" cstate="print">
          <a:clrChange>
            <a:clrFrom>
              <a:srgbClr val="FFFFFF"/>
            </a:clrFrom>
            <a:clrTo>
              <a:srgbClr val="FFFFFF">
                <a:alpha val="0"/>
              </a:srgbClr>
            </a:clrTo>
          </a:clrChange>
          <a:extLst>
            <a:ext uri="{BEBA8EAE-BF5A-486C-A8C5-ECC9F3942E4B}">
              <a14:imgProps xmlns:a14="http://schemas.microsoft.com/office/drawing/2010/main">
                <a14:imgLayer r:embed="rId2">
                  <a14:imgEffect>
                    <a14:sharpenSoften amount="-25000"/>
                  </a14:imgEffect>
                  <a14:imgEffect>
                    <a14:brightnessContrast bright="20000"/>
                  </a14:imgEffect>
                </a14:imgLayer>
              </a14:imgProps>
            </a:ext>
            <a:ext uri="{28A0092B-C50C-407E-A947-70E740481C1C}">
              <a14:useLocalDpi xmlns:a14="http://schemas.microsoft.com/office/drawing/2010/main" val="0"/>
            </a:ext>
          </a:extLst>
        </a:blip>
        <a:srcRect l="75810" r="7112"/>
        <a:stretch/>
      </xdr:blipFill>
      <xdr:spPr bwMode="auto">
        <a:xfrm>
          <a:off x="29354272" y="2474496"/>
          <a:ext cx="457609" cy="1077884"/>
        </a:xfrm>
        <a:prstGeom prst="rect">
          <a:avLst/>
        </a:prstGeom>
        <a:noFill/>
        <a:ln>
          <a:noFill/>
        </a:ln>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Lst>
      </xdr:spPr>
    </xdr:pic>
    <xdr:clientData/>
  </xdr:twoCellAnchor>
  <xdr:twoCellAnchor editAs="oneCell">
    <xdr:from>
      <xdr:col>13</xdr:col>
      <xdr:colOff>637157</xdr:colOff>
      <xdr:row>12</xdr:row>
      <xdr:rowOff>28235</xdr:rowOff>
    </xdr:from>
    <xdr:to>
      <xdr:col>13</xdr:col>
      <xdr:colOff>970890</xdr:colOff>
      <xdr:row>14</xdr:row>
      <xdr:rowOff>4060</xdr:rowOff>
    </xdr:to>
    <xdr:pic>
      <xdr:nvPicPr>
        <xdr:cNvPr id="43" name="Grafik 42">
          <a:extLst>
            <a:ext uri="{FF2B5EF4-FFF2-40B4-BE49-F238E27FC236}">
              <a16:creationId xmlns:a16="http://schemas.microsoft.com/office/drawing/2014/main" id="{00000000-0008-0000-0000-00002B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blip>
        <a:stretch>
          <a:fillRect/>
        </a:stretch>
      </xdr:blipFill>
      <xdr:spPr>
        <a:xfrm>
          <a:off x="29878907" y="2495210"/>
          <a:ext cx="333733" cy="350475"/>
        </a:xfrm>
        <a:prstGeom prst="rect">
          <a:avLst/>
        </a:prstGeom>
      </xdr:spPr>
    </xdr:pic>
    <xdr:clientData/>
  </xdr:twoCellAnchor>
  <xdr:twoCellAnchor editAs="oneCell">
    <xdr:from>
      <xdr:col>6</xdr:col>
      <xdr:colOff>676275</xdr:colOff>
      <xdr:row>15</xdr:row>
      <xdr:rowOff>5443</xdr:rowOff>
    </xdr:from>
    <xdr:to>
      <xdr:col>6</xdr:col>
      <xdr:colOff>1047280</xdr:colOff>
      <xdr:row>16</xdr:row>
      <xdr:rowOff>175850</xdr:rowOff>
    </xdr:to>
    <xdr:pic>
      <xdr:nvPicPr>
        <xdr:cNvPr id="47" name="Grafik 46">
          <a:extLst>
            <a:ext uri="{FF2B5EF4-FFF2-40B4-BE49-F238E27FC236}">
              <a16:creationId xmlns:a16="http://schemas.microsoft.com/office/drawing/2014/main" id="{00000000-0008-0000-0000-00002F000000}"/>
            </a:ext>
          </a:extLst>
        </xdr:cNvPr>
        <xdr:cNvPicPr>
          <a:picLocks noChangeAspect="1"/>
        </xdr:cNvPicPr>
      </xdr:nvPicPr>
      <xdr:blipFill>
        <a:blip xmlns:r="http://schemas.openxmlformats.org/officeDocument/2006/relationships" r:embed="rId6">
          <a:clrChange>
            <a:clrFrom>
              <a:srgbClr val="FFFFFF"/>
            </a:clrFrom>
            <a:clrTo>
              <a:srgbClr val="FFFFFF">
                <a:alpha val="0"/>
              </a:srgbClr>
            </a:clrTo>
          </a:clrChange>
        </a:blip>
        <a:stretch>
          <a:fillRect/>
        </a:stretch>
      </xdr:blipFill>
      <xdr:spPr>
        <a:xfrm>
          <a:off x="23631525" y="3034393"/>
          <a:ext cx="371005" cy="364082"/>
        </a:xfrm>
        <a:prstGeom prst="rect">
          <a:avLst/>
        </a:prstGeom>
      </xdr:spPr>
    </xdr:pic>
    <xdr:clientData/>
  </xdr:twoCellAnchor>
  <xdr:twoCellAnchor editAs="oneCell">
    <xdr:from>
      <xdr:col>20</xdr:col>
      <xdr:colOff>0</xdr:colOff>
      <xdr:row>19</xdr:row>
      <xdr:rowOff>0</xdr:rowOff>
    </xdr:from>
    <xdr:to>
      <xdr:col>21</xdr:col>
      <xdr:colOff>3514723</xdr:colOff>
      <xdr:row>28</xdr:row>
      <xdr:rowOff>270329</xdr:rowOff>
    </xdr:to>
    <xdr:sp macro="" textlink="">
      <xdr:nvSpPr>
        <xdr:cNvPr id="1030" name="AutoShape 6" descr="Bildergebnis für tyvek">
          <a:extLst>
            <a:ext uri="{FF2B5EF4-FFF2-40B4-BE49-F238E27FC236}">
              <a16:creationId xmlns:a16="http://schemas.microsoft.com/office/drawing/2014/main" id="{00000000-0008-0000-0000-000006040000}"/>
            </a:ext>
          </a:extLst>
        </xdr:cNvPr>
        <xdr:cNvSpPr>
          <a:spLocks noChangeAspect="1" noChangeArrowheads="1"/>
        </xdr:cNvSpPr>
      </xdr:nvSpPr>
      <xdr:spPr bwMode="auto">
        <a:xfrm>
          <a:off x="34994850" y="3600450"/>
          <a:ext cx="4552950" cy="45529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16</xdr:col>
      <xdr:colOff>155724</xdr:colOff>
      <xdr:row>11</xdr:row>
      <xdr:rowOff>157540</xdr:rowOff>
    </xdr:from>
    <xdr:to>
      <xdr:col>16</xdr:col>
      <xdr:colOff>613333</xdr:colOff>
      <xdr:row>17</xdr:row>
      <xdr:rowOff>120092</xdr:rowOff>
    </xdr:to>
    <xdr:pic>
      <xdr:nvPicPr>
        <xdr:cNvPr id="67" name="Picture 4">
          <a:extLst>
            <a:ext uri="{FF2B5EF4-FFF2-40B4-BE49-F238E27FC236}">
              <a16:creationId xmlns:a16="http://schemas.microsoft.com/office/drawing/2014/main" id="{00000000-0008-0000-0000-000043000000}"/>
            </a:ext>
          </a:extLst>
        </xdr:cNvPr>
        <xdr:cNvPicPr>
          <a:picLocks noChangeAspect="1" noChangeArrowheads="1"/>
        </xdr:cNvPicPr>
      </xdr:nvPicPr>
      <xdr:blipFill rotWithShape="1">
        <a:blip xmlns:r="http://schemas.openxmlformats.org/officeDocument/2006/relationships" r:embed="rId3" cstate="print">
          <a:clrChange>
            <a:clrFrom>
              <a:srgbClr val="FFFFFF"/>
            </a:clrFrom>
            <a:clrTo>
              <a:srgbClr val="FFFFFF">
                <a:alpha val="0"/>
              </a:srgbClr>
            </a:clrTo>
          </a:clrChange>
          <a:extLst>
            <a:ext uri="{BEBA8EAE-BF5A-486C-A8C5-ECC9F3942E4B}">
              <a14:imgProps xmlns:a14="http://schemas.microsoft.com/office/drawing/2010/main">
                <a14:imgLayer r:embed="rId4">
                  <a14:imgEffect>
                    <a14:sharpenSoften amount="-25000"/>
                  </a14:imgEffect>
                  <a14:imgEffect>
                    <a14:brightnessContrast bright="20000"/>
                  </a14:imgEffect>
                </a14:imgLayer>
              </a14:imgProps>
            </a:ext>
            <a:ext uri="{28A0092B-C50C-407E-A947-70E740481C1C}">
              <a14:useLocalDpi xmlns:a14="http://schemas.microsoft.com/office/drawing/2010/main" val="0"/>
            </a:ext>
          </a:extLst>
        </a:blip>
        <a:srcRect l="75810" r="7112"/>
        <a:stretch/>
      </xdr:blipFill>
      <xdr:spPr bwMode="auto">
        <a:xfrm>
          <a:off x="32663188" y="2416326"/>
          <a:ext cx="457609" cy="1069720"/>
        </a:xfrm>
        <a:prstGeom prst="rect">
          <a:avLst/>
        </a:prstGeom>
        <a:noFill/>
        <a:ln>
          <a:noFill/>
        </a:ln>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Lst>
      </xdr:spPr>
    </xdr:pic>
    <xdr:clientData/>
  </xdr:twoCellAnchor>
  <xdr:twoCellAnchor editAs="oneCell">
    <xdr:from>
      <xdr:col>16</xdr:col>
      <xdr:colOff>1057278</xdr:colOff>
      <xdr:row>14</xdr:row>
      <xdr:rowOff>134710</xdr:rowOff>
    </xdr:from>
    <xdr:to>
      <xdr:col>16</xdr:col>
      <xdr:colOff>1491378</xdr:colOff>
      <xdr:row>17</xdr:row>
      <xdr:rowOff>77006</xdr:rowOff>
    </xdr:to>
    <xdr:pic>
      <xdr:nvPicPr>
        <xdr:cNvPr id="68" name="Grafik 67">
          <a:extLst>
            <a:ext uri="{FF2B5EF4-FFF2-40B4-BE49-F238E27FC236}">
              <a16:creationId xmlns:a16="http://schemas.microsoft.com/office/drawing/2014/main" id="{00000000-0008-0000-0000-000044000000}"/>
            </a:ext>
          </a:extLst>
        </xdr:cNvPr>
        <xdr:cNvPicPr>
          <a:picLocks noChangeAspect="1"/>
        </xdr:cNvPicPr>
      </xdr:nvPicPr>
      <xdr:blipFill>
        <a:blip xmlns:r="http://schemas.openxmlformats.org/officeDocument/2006/relationships" r:embed="rId10">
          <a:clrChange>
            <a:clrFrom>
              <a:srgbClr val="FFFFFF"/>
            </a:clrFrom>
            <a:clrTo>
              <a:srgbClr val="FFFFFF">
                <a:alpha val="0"/>
              </a:srgbClr>
            </a:clrTo>
          </a:clrChange>
        </a:blip>
        <a:stretch>
          <a:fillRect/>
        </a:stretch>
      </xdr:blipFill>
      <xdr:spPr>
        <a:xfrm>
          <a:off x="33564742" y="2978603"/>
          <a:ext cx="434100" cy="486582"/>
        </a:xfrm>
        <a:prstGeom prst="rect">
          <a:avLst/>
        </a:prstGeom>
      </xdr:spPr>
    </xdr:pic>
    <xdr:clientData/>
  </xdr:twoCellAnchor>
  <xdr:twoCellAnchor editAs="oneCell">
    <xdr:from>
      <xdr:col>16</xdr:col>
      <xdr:colOff>644976</xdr:colOff>
      <xdr:row>15</xdr:row>
      <xdr:rowOff>35378</xdr:rowOff>
    </xdr:from>
    <xdr:to>
      <xdr:col>16</xdr:col>
      <xdr:colOff>1015981</xdr:colOff>
      <xdr:row>17</xdr:row>
      <xdr:rowOff>37510</xdr:rowOff>
    </xdr:to>
    <xdr:pic>
      <xdr:nvPicPr>
        <xdr:cNvPr id="81" name="Grafik 80">
          <a:extLst>
            <a:ext uri="{FF2B5EF4-FFF2-40B4-BE49-F238E27FC236}">
              <a16:creationId xmlns:a16="http://schemas.microsoft.com/office/drawing/2014/main" id="{00000000-0008-0000-0000-000051000000}"/>
            </a:ext>
          </a:extLst>
        </xdr:cNvPr>
        <xdr:cNvPicPr>
          <a:picLocks noChangeAspect="1"/>
        </xdr:cNvPicPr>
      </xdr:nvPicPr>
      <xdr:blipFill>
        <a:blip xmlns:r="http://schemas.openxmlformats.org/officeDocument/2006/relationships" r:embed="rId6">
          <a:clrChange>
            <a:clrFrom>
              <a:srgbClr val="FFFFFF"/>
            </a:clrFrom>
            <a:clrTo>
              <a:srgbClr val="FFFFFF">
                <a:alpha val="0"/>
              </a:srgbClr>
            </a:clrTo>
          </a:clrChange>
        </a:blip>
        <a:stretch>
          <a:fillRect/>
        </a:stretch>
      </xdr:blipFill>
      <xdr:spPr>
        <a:xfrm>
          <a:off x="33152440" y="3056164"/>
          <a:ext cx="371005" cy="360000"/>
        </a:xfrm>
        <a:prstGeom prst="rect">
          <a:avLst/>
        </a:prstGeom>
      </xdr:spPr>
    </xdr:pic>
    <xdr:clientData/>
  </xdr:twoCellAnchor>
  <xdr:twoCellAnchor editAs="oneCell">
    <xdr:from>
      <xdr:col>16</xdr:col>
      <xdr:colOff>663011</xdr:colOff>
      <xdr:row>12</xdr:row>
      <xdr:rowOff>55449</xdr:rowOff>
    </xdr:from>
    <xdr:to>
      <xdr:col>16</xdr:col>
      <xdr:colOff>996744</xdr:colOff>
      <xdr:row>14</xdr:row>
      <xdr:rowOff>40799</xdr:rowOff>
    </xdr:to>
    <xdr:pic>
      <xdr:nvPicPr>
        <xdr:cNvPr id="82" name="Grafik 81">
          <a:extLst>
            <a:ext uri="{FF2B5EF4-FFF2-40B4-BE49-F238E27FC236}">
              <a16:creationId xmlns:a16="http://schemas.microsoft.com/office/drawing/2014/main" id="{00000000-0008-0000-0000-000052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blip>
        <a:stretch>
          <a:fillRect/>
        </a:stretch>
      </xdr:blipFill>
      <xdr:spPr>
        <a:xfrm>
          <a:off x="33170475" y="2518342"/>
          <a:ext cx="333733" cy="360000"/>
        </a:xfrm>
        <a:prstGeom prst="rect">
          <a:avLst/>
        </a:prstGeom>
      </xdr:spPr>
    </xdr:pic>
    <xdr:clientData/>
  </xdr:twoCellAnchor>
  <xdr:twoCellAnchor editAs="oneCell">
    <xdr:from>
      <xdr:col>18</xdr:col>
      <xdr:colOff>155723</xdr:colOff>
      <xdr:row>11</xdr:row>
      <xdr:rowOff>173868</xdr:rowOff>
    </xdr:from>
    <xdr:to>
      <xdr:col>18</xdr:col>
      <xdr:colOff>613332</xdr:colOff>
      <xdr:row>17</xdr:row>
      <xdr:rowOff>136420</xdr:rowOff>
    </xdr:to>
    <xdr:pic>
      <xdr:nvPicPr>
        <xdr:cNvPr id="83" name="Picture 4">
          <a:extLst>
            <a:ext uri="{FF2B5EF4-FFF2-40B4-BE49-F238E27FC236}">
              <a16:creationId xmlns:a16="http://schemas.microsoft.com/office/drawing/2014/main" id="{00000000-0008-0000-0000-000053000000}"/>
            </a:ext>
          </a:extLst>
        </xdr:cNvPr>
        <xdr:cNvPicPr>
          <a:picLocks noChangeAspect="1" noChangeArrowheads="1"/>
        </xdr:cNvPicPr>
      </xdr:nvPicPr>
      <xdr:blipFill rotWithShape="1">
        <a:blip xmlns:r="http://schemas.openxmlformats.org/officeDocument/2006/relationships" r:embed="rId3" cstate="print">
          <a:clrChange>
            <a:clrFrom>
              <a:srgbClr val="FFFFFF"/>
            </a:clrFrom>
            <a:clrTo>
              <a:srgbClr val="FFFFFF">
                <a:alpha val="0"/>
              </a:srgbClr>
            </a:clrTo>
          </a:clrChange>
          <a:extLst>
            <a:ext uri="{BEBA8EAE-BF5A-486C-A8C5-ECC9F3942E4B}">
              <a14:imgProps xmlns:a14="http://schemas.microsoft.com/office/drawing/2010/main">
                <a14:imgLayer r:embed="rId4">
                  <a14:imgEffect>
                    <a14:sharpenSoften amount="-25000"/>
                  </a14:imgEffect>
                  <a14:imgEffect>
                    <a14:brightnessContrast bright="20000"/>
                  </a14:imgEffect>
                </a14:imgLayer>
              </a14:imgProps>
            </a:ext>
            <a:ext uri="{28A0092B-C50C-407E-A947-70E740481C1C}">
              <a14:useLocalDpi xmlns:a14="http://schemas.microsoft.com/office/drawing/2010/main" val="0"/>
            </a:ext>
          </a:extLst>
        </a:blip>
        <a:srcRect l="75810" r="7112"/>
        <a:stretch/>
      </xdr:blipFill>
      <xdr:spPr bwMode="auto">
        <a:xfrm>
          <a:off x="42189548" y="2459868"/>
          <a:ext cx="457609" cy="1086502"/>
        </a:xfrm>
        <a:prstGeom prst="rect">
          <a:avLst/>
        </a:prstGeom>
        <a:noFill/>
        <a:ln>
          <a:noFill/>
        </a:ln>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Lst>
      </xdr:spPr>
    </xdr:pic>
    <xdr:clientData/>
  </xdr:twoCellAnchor>
  <xdr:twoCellAnchor editAs="oneCell">
    <xdr:from>
      <xdr:col>18</xdr:col>
      <xdr:colOff>576940</xdr:colOff>
      <xdr:row>15</xdr:row>
      <xdr:rowOff>27213</xdr:rowOff>
    </xdr:from>
    <xdr:to>
      <xdr:col>18</xdr:col>
      <xdr:colOff>947945</xdr:colOff>
      <xdr:row>17</xdr:row>
      <xdr:rowOff>29345</xdr:rowOff>
    </xdr:to>
    <xdr:pic>
      <xdr:nvPicPr>
        <xdr:cNvPr id="85" name="Grafik 84">
          <a:extLst>
            <a:ext uri="{FF2B5EF4-FFF2-40B4-BE49-F238E27FC236}">
              <a16:creationId xmlns:a16="http://schemas.microsoft.com/office/drawing/2014/main" id="{00000000-0008-0000-0000-000055000000}"/>
            </a:ext>
          </a:extLst>
        </xdr:cNvPr>
        <xdr:cNvPicPr>
          <a:picLocks noChangeAspect="1"/>
        </xdr:cNvPicPr>
      </xdr:nvPicPr>
      <xdr:blipFill>
        <a:blip xmlns:r="http://schemas.openxmlformats.org/officeDocument/2006/relationships" r:embed="rId6">
          <a:clrChange>
            <a:clrFrom>
              <a:srgbClr val="FFFFFF"/>
            </a:clrFrom>
            <a:clrTo>
              <a:srgbClr val="FFFFFF">
                <a:alpha val="0"/>
              </a:srgbClr>
            </a:clrTo>
          </a:clrChange>
        </a:blip>
        <a:stretch>
          <a:fillRect/>
        </a:stretch>
      </xdr:blipFill>
      <xdr:spPr>
        <a:xfrm>
          <a:off x="34662833" y="3047999"/>
          <a:ext cx="371005" cy="360000"/>
        </a:xfrm>
        <a:prstGeom prst="rect">
          <a:avLst/>
        </a:prstGeom>
      </xdr:spPr>
    </xdr:pic>
    <xdr:clientData/>
  </xdr:twoCellAnchor>
  <xdr:twoCellAnchor editAs="oneCell">
    <xdr:from>
      <xdr:col>18</xdr:col>
      <xdr:colOff>663010</xdr:colOff>
      <xdr:row>12</xdr:row>
      <xdr:rowOff>47285</xdr:rowOff>
    </xdr:from>
    <xdr:to>
      <xdr:col>18</xdr:col>
      <xdr:colOff>996743</xdr:colOff>
      <xdr:row>14</xdr:row>
      <xdr:rowOff>32635</xdr:rowOff>
    </xdr:to>
    <xdr:pic>
      <xdr:nvPicPr>
        <xdr:cNvPr id="86" name="Grafik 85">
          <a:extLst>
            <a:ext uri="{FF2B5EF4-FFF2-40B4-BE49-F238E27FC236}">
              <a16:creationId xmlns:a16="http://schemas.microsoft.com/office/drawing/2014/main" id="{00000000-0008-0000-0000-000056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blip>
        <a:stretch>
          <a:fillRect/>
        </a:stretch>
      </xdr:blipFill>
      <xdr:spPr>
        <a:xfrm>
          <a:off x="34748903" y="2510178"/>
          <a:ext cx="333733" cy="360000"/>
        </a:xfrm>
        <a:prstGeom prst="rect">
          <a:avLst/>
        </a:prstGeom>
      </xdr:spPr>
    </xdr:pic>
    <xdr:clientData/>
  </xdr:twoCellAnchor>
  <xdr:twoCellAnchor editAs="oneCell">
    <xdr:from>
      <xdr:col>10</xdr:col>
      <xdr:colOff>1062264</xdr:colOff>
      <xdr:row>12</xdr:row>
      <xdr:rowOff>52312</xdr:rowOff>
    </xdr:from>
    <xdr:to>
      <xdr:col>10</xdr:col>
      <xdr:colOff>1428750</xdr:colOff>
      <xdr:row>14</xdr:row>
      <xdr:rowOff>109405</xdr:rowOff>
    </xdr:to>
    <xdr:pic>
      <xdr:nvPicPr>
        <xdr:cNvPr id="89" name="Grafik 88">
          <a:extLst>
            <a:ext uri="{FF2B5EF4-FFF2-40B4-BE49-F238E27FC236}">
              <a16:creationId xmlns:a16="http://schemas.microsoft.com/office/drawing/2014/main" id="{00000000-0008-0000-0000-000059000000}"/>
            </a:ext>
          </a:extLst>
        </xdr:cNvPr>
        <xdr:cNvPicPr>
          <a:picLocks noChangeAspect="1"/>
        </xdr:cNvPicPr>
      </xdr:nvPicPr>
      <xdr:blipFill>
        <a:blip xmlns:r="http://schemas.openxmlformats.org/officeDocument/2006/relationships" r:embed="rId11">
          <a:clrChange>
            <a:clrFrom>
              <a:srgbClr val="FFFFFF"/>
            </a:clrFrom>
            <a:clrTo>
              <a:srgbClr val="FFFFFF">
                <a:alpha val="0"/>
              </a:srgbClr>
            </a:clrTo>
          </a:clrChange>
        </a:blip>
        <a:stretch>
          <a:fillRect/>
        </a:stretch>
      </xdr:blipFill>
      <xdr:spPr>
        <a:xfrm>
          <a:off x="30610931" y="2518229"/>
          <a:ext cx="366486" cy="437034"/>
        </a:xfrm>
        <a:prstGeom prst="rect">
          <a:avLst/>
        </a:prstGeom>
      </xdr:spPr>
    </xdr:pic>
    <xdr:clientData/>
  </xdr:twoCellAnchor>
  <xdr:twoCellAnchor editAs="oneCell">
    <xdr:from>
      <xdr:col>16</xdr:col>
      <xdr:colOff>942634</xdr:colOff>
      <xdr:row>11</xdr:row>
      <xdr:rowOff>77900</xdr:rowOff>
    </xdr:from>
    <xdr:to>
      <xdr:col>16</xdr:col>
      <xdr:colOff>1549853</xdr:colOff>
      <xdr:row>14</xdr:row>
      <xdr:rowOff>113853</xdr:rowOff>
    </xdr:to>
    <xdr:pic>
      <xdr:nvPicPr>
        <xdr:cNvPr id="92" name="Grafik 91" descr="Bildergebnis für apron pesticide">
          <a:extLst>
            <a:ext uri="{FF2B5EF4-FFF2-40B4-BE49-F238E27FC236}">
              <a16:creationId xmlns:a16="http://schemas.microsoft.com/office/drawing/2014/main" id="{00000000-0008-0000-0000-00005C000000}"/>
            </a:ext>
          </a:extLst>
        </xdr:cNvPr>
        <xdr:cNvPicPr>
          <a:picLocks noChangeAspect="1" noChangeArrowheads="1"/>
        </xdr:cNvPicPr>
      </xdr:nvPicPr>
      <xdr:blipFill>
        <a:blip xmlns:r="http://schemas.openxmlformats.org/officeDocument/2006/relationships" r:embed="rId7"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3450098" y="2336686"/>
          <a:ext cx="607219" cy="5988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1019177</xdr:colOff>
      <xdr:row>14</xdr:row>
      <xdr:rowOff>123824</xdr:rowOff>
    </xdr:from>
    <xdr:to>
      <xdr:col>18</xdr:col>
      <xdr:colOff>1453277</xdr:colOff>
      <xdr:row>17</xdr:row>
      <xdr:rowOff>66120</xdr:rowOff>
    </xdr:to>
    <xdr:pic>
      <xdr:nvPicPr>
        <xdr:cNvPr id="97" name="Grafik 96">
          <a:extLst>
            <a:ext uri="{FF2B5EF4-FFF2-40B4-BE49-F238E27FC236}">
              <a16:creationId xmlns:a16="http://schemas.microsoft.com/office/drawing/2014/main" id="{00000000-0008-0000-0000-000061000000}"/>
            </a:ext>
          </a:extLst>
        </xdr:cNvPr>
        <xdr:cNvPicPr>
          <a:picLocks noChangeAspect="1"/>
        </xdr:cNvPicPr>
      </xdr:nvPicPr>
      <xdr:blipFill>
        <a:blip xmlns:r="http://schemas.openxmlformats.org/officeDocument/2006/relationships" r:embed="rId10">
          <a:clrChange>
            <a:clrFrom>
              <a:srgbClr val="FFFFFF"/>
            </a:clrFrom>
            <a:clrTo>
              <a:srgbClr val="FFFFFF">
                <a:alpha val="0"/>
              </a:srgbClr>
            </a:clrTo>
          </a:clrChange>
        </a:blip>
        <a:stretch>
          <a:fillRect/>
        </a:stretch>
      </xdr:blipFill>
      <xdr:spPr>
        <a:xfrm>
          <a:off x="35105070" y="2967717"/>
          <a:ext cx="434100" cy="486582"/>
        </a:xfrm>
        <a:prstGeom prst="rect">
          <a:avLst/>
        </a:prstGeom>
      </xdr:spPr>
    </xdr:pic>
    <xdr:clientData/>
  </xdr:twoCellAnchor>
  <xdr:twoCellAnchor editAs="oneCell">
    <xdr:from>
      <xdr:col>11</xdr:col>
      <xdr:colOff>95853</xdr:colOff>
      <xdr:row>12</xdr:row>
      <xdr:rowOff>377</xdr:rowOff>
    </xdr:from>
    <xdr:to>
      <xdr:col>11</xdr:col>
      <xdr:colOff>553462</xdr:colOff>
      <xdr:row>17</xdr:row>
      <xdr:rowOff>151161</xdr:rowOff>
    </xdr:to>
    <xdr:pic>
      <xdr:nvPicPr>
        <xdr:cNvPr id="98" name="Picture 4">
          <a:extLst>
            <a:ext uri="{FF2B5EF4-FFF2-40B4-BE49-F238E27FC236}">
              <a16:creationId xmlns:a16="http://schemas.microsoft.com/office/drawing/2014/main" id="{00000000-0008-0000-0000-000062000000}"/>
            </a:ext>
          </a:extLst>
        </xdr:cNvPr>
        <xdr:cNvPicPr>
          <a:picLocks noChangeAspect="1" noChangeArrowheads="1"/>
        </xdr:cNvPicPr>
      </xdr:nvPicPr>
      <xdr:blipFill rotWithShape="1">
        <a:blip xmlns:r="http://schemas.openxmlformats.org/officeDocument/2006/relationships" r:embed="rId1" cstate="print">
          <a:clrChange>
            <a:clrFrom>
              <a:srgbClr val="FFFFFF"/>
            </a:clrFrom>
            <a:clrTo>
              <a:srgbClr val="FFFFFF">
                <a:alpha val="0"/>
              </a:srgbClr>
            </a:clrTo>
          </a:clrChange>
          <a:extLst>
            <a:ext uri="{BEBA8EAE-BF5A-486C-A8C5-ECC9F3942E4B}">
              <a14:imgProps xmlns:a14="http://schemas.microsoft.com/office/drawing/2010/main">
                <a14:imgLayer r:embed="rId2">
                  <a14:imgEffect>
                    <a14:sharpenSoften amount="-25000"/>
                  </a14:imgEffect>
                  <a14:imgEffect>
                    <a14:brightnessContrast bright="20000"/>
                  </a14:imgEffect>
                </a14:imgLayer>
              </a14:imgProps>
            </a:ext>
            <a:ext uri="{28A0092B-C50C-407E-A947-70E740481C1C}">
              <a14:useLocalDpi xmlns:a14="http://schemas.microsoft.com/office/drawing/2010/main" val="0"/>
            </a:ext>
          </a:extLst>
        </a:blip>
        <a:srcRect l="75810" r="7112"/>
        <a:stretch/>
      </xdr:blipFill>
      <xdr:spPr bwMode="auto">
        <a:xfrm>
          <a:off x="29563822" y="2464971"/>
          <a:ext cx="457609" cy="1077090"/>
        </a:xfrm>
        <a:prstGeom prst="rect">
          <a:avLst/>
        </a:prstGeom>
        <a:noFill/>
        <a:ln>
          <a:noFill/>
        </a:ln>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Lst>
      </xdr:spPr>
    </xdr:pic>
    <xdr:clientData/>
  </xdr:twoCellAnchor>
  <xdr:twoCellAnchor editAs="oneCell">
    <xdr:from>
      <xdr:col>11</xdr:col>
      <xdr:colOff>1001148</xdr:colOff>
      <xdr:row>14</xdr:row>
      <xdr:rowOff>144915</xdr:rowOff>
    </xdr:from>
    <xdr:to>
      <xdr:col>11</xdr:col>
      <xdr:colOff>1435248</xdr:colOff>
      <xdr:row>17</xdr:row>
      <xdr:rowOff>87211</xdr:rowOff>
    </xdr:to>
    <xdr:pic>
      <xdr:nvPicPr>
        <xdr:cNvPr id="100" name="Grafik 99">
          <a:extLst>
            <a:ext uri="{FF2B5EF4-FFF2-40B4-BE49-F238E27FC236}">
              <a16:creationId xmlns:a16="http://schemas.microsoft.com/office/drawing/2014/main" id="{00000000-0008-0000-0000-000064000000}"/>
            </a:ext>
          </a:extLst>
        </xdr:cNvPr>
        <xdr:cNvPicPr>
          <a:picLocks noChangeAspect="1"/>
        </xdr:cNvPicPr>
      </xdr:nvPicPr>
      <xdr:blipFill>
        <a:blip xmlns:r="http://schemas.openxmlformats.org/officeDocument/2006/relationships" r:embed="rId10">
          <a:clrChange>
            <a:clrFrom>
              <a:srgbClr val="FFFFFF"/>
            </a:clrFrom>
            <a:clrTo>
              <a:srgbClr val="FFFFFF">
                <a:alpha val="0"/>
              </a:srgbClr>
            </a:clrTo>
          </a:clrChange>
        </a:blip>
        <a:stretch>
          <a:fillRect/>
        </a:stretch>
      </xdr:blipFill>
      <xdr:spPr>
        <a:xfrm>
          <a:off x="30469117" y="2978603"/>
          <a:ext cx="434100" cy="489983"/>
        </a:xfrm>
        <a:prstGeom prst="rect">
          <a:avLst/>
        </a:prstGeom>
      </xdr:spPr>
    </xdr:pic>
    <xdr:clientData/>
  </xdr:twoCellAnchor>
  <xdr:twoCellAnchor editAs="oneCell">
    <xdr:from>
      <xdr:col>11</xdr:col>
      <xdr:colOff>588846</xdr:colOff>
      <xdr:row>15</xdr:row>
      <xdr:rowOff>45583</xdr:rowOff>
    </xdr:from>
    <xdr:to>
      <xdr:col>11</xdr:col>
      <xdr:colOff>959851</xdr:colOff>
      <xdr:row>17</xdr:row>
      <xdr:rowOff>47715</xdr:rowOff>
    </xdr:to>
    <xdr:pic>
      <xdr:nvPicPr>
        <xdr:cNvPr id="101" name="Grafik 100">
          <a:extLst>
            <a:ext uri="{FF2B5EF4-FFF2-40B4-BE49-F238E27FC236}">
              <a16:creationId xmlns:a16="http://schemas.microsoft.com/office/drawing/2014/main" id="{00000000-0008-0000-0000-000065000000}"/>
            </a:ext>
          </a:extLst>
        </xdr:cNvPr>
        <xdr:cNvPicPr>
          <a:picLocks noChangeAspect="1"/>
        </xdr:cNvPicPr>
      </xdr:nvPicPr>
      <xdr:blipFill>
        <a:blip xmlns:r="http://schemas.openxmlformats.org/officeDocument/2006/relationships" r:embed="rId6">
          <a:clrChange>
            <a:clrFrom>
              <a:srgbClr val="FFFFFF"/>
            </a:clrFrom>
            <a:clrTo>
              <a:srgbClr val="FFFFFF">
                <a:alpha val="0"/>
              </a:srgbClr>
            </a:clrTo>
          </a:clrChange>
        </a:blip>
        <a:stretch>
          <a:fillRect/>
        </a:stretch>
      </xdr:blipFill>
      <xdr:spPr>
        <a:xfrm>
          <a:off x="30056815" y="3057864"/>
          <a:ext cx="371005" cy="361701"/>
        </a:xfrm>
        <a:prstGeom prst="rect">
          <a:avLst/>
        </a:prstGeom>
      </xdr:spPr>
    </xdr:pic>
    <xdr:clientData/>
  </xdr:twoCellAnchor>
  <xdr:twoCellAnchor editAs="oneCell">
    <xdr:from>
      <xdr:col>12</xdr:col>
      <xdr:colOff>188722</xdr:colOff>
      <xdr:row>11</xdr:row>
      <xdr:rowOff>188496</xdr:rowOff>
    </xdr:from>
    <xdr:to>
      <xdr:col>12</xdr:col>
      <xdr:colOff>646331</xdr:colOff>
      <xdr:row>17</xdr:row>
      <xdr:rowOff>148780</xdr:rowOff>
    </xdr:to>
    <xdr:pic>
      <xdr:nvPicPr>
        <xdr:cNvPr id="102" name="Picture 4">
          <a:extLst>
            <a:ext uri="{FF2B5EF4-FFF2-40B4-BE49-F238E27FC236}">
              <a16:creationId xmlns:a16="http://schemas.microsoft.com/office/drawing/2014/main" id="{00000000-0008-0000-0000-000066000000}"/>
            </a:ext>
          </a:extLst>
        </xdr:cNvPr>
        <xdr:cNvPicPr>
          <a:picLocks noChangeAspect="1" noChangeArrowheads="1"/>
        </xdr:cNvPicPr>
      </xdr:nvPicPr>
      <xdr:blipFill rotWithShape="1">
        <a:blip xmlns:r="http://schemas.openxmlformats.org/officeDocument/2006/relationships" r:embed="rId1" cstate="print">
          <a:clrChange>
            <a:clrFrom>
              <a:srgbClr val="FFFFFF"/>
            </a:clrFrom>
            <a:clrTo>
              <a:srgbClr val="FFFFFF">
                <a:alpha val="0"/>
              </a:srgbClr>
            </a:clrTo>
          </a:clrChange>
          <a:extLst>
            <a:ext uri="{BEBA8EAE-BF5A-486C-A8C5-ECC9F3942E4B}">
              <a14:imgProps xmlns:a14="http://schemas.microsoft.com/office/drawing/2010/main">
                <a14:imgLayer r:embed="rId2">
                  <a14:imgEffect>
                    <a14:sharpenSoften amount="-25000"/>
                  </a14:imgEffect>
                  <a14:imgEffect>
                    <a14:brightnessContrast bright="20000"/>
                  </a14:imgEffect>
                </a14:imgLayer>
              </a14:imgProps>
            </a:ext>
            <a:ext uri="{28A0092B-C50C-407E-A947-70E740481C1C}">
              <a14:useLocalDpi xmlns:a14="http://schemas.microsoft.com/office/drawing/2010/main" val="0"/>
            </a:ext>
          </a:extLst>
        </a:blip>
        <a:srcRect l="75810" r="7112"/>
        <a:stretch/>
      </xdr:blipFill>
      <xdr:spPr bwMode="auto">
        <a:xfrm>
          <a:off x="31228316" y="2462590"/>
          <a:ext cx="457609" cy="1077090"/>
        </a:xfrm>
        <a:prstGeom prst="rect">
          <a:avLst/>
        </a:prstGeom>
        <a:noFill/>
        <a:ln>
          <a:noFill/>
        </a:ln>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Lst>
      </xdr:spPr>
    </xdr:pic>
    <xdr:clientData/>
  </xdr:twoCellAnchor>
  <xdr:twoCellAnchor editAs="oneCell">
    <xdr:from>
      <xdr:col>12</xdr:col>
      <xdr:colOff>713357</xdr:colOff>
      <xdr:row>12</xdr:row>
      <xdr:rowOff>18710</xdr:rowOff>
    </xdr:from>
    <xdr:to>
      <xdr:col>12</xdr:col>
      <xdr:colOff>1047090</xdr:colOff>
      <xdr:row>13</xdr:row>
      <xdr:rowOff>185035</xdr:rowOff>
    </xdr:to>
    <xdr:pic>
      <xdr:nvPicPr>
        <xdr:cNvPr id="103" name="Grafik 102">
          <a:extLst>
            <a:ext uri="{FF2B5EF4-FFF2-40B4-BE49-F238E27FC236}">
              <a16:creationId xmlns:a16="http://schemas.microsoft.com/office/drawing/2014/main" id="{00000000-0008-0000-0000-000067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blip>
        <a:stretch>
          <a:fillRect/>
        </a:stretch>
      </xdr:blipFill>
      <xdr:spPr>
        <a:xfrm>
          <a:off x="31752951" y="2483304"/>
          <a:ext cx="333733" cy="354444"/>
        </a:xfrm>
        <a:prstGeom prst="rect">
          <a:avLst/>
        </a:prstGeom>
      </xdr:spPr>
    </xdr:pic>
    <xdr:clientData/>
  </xdr:twoCellAnchor>
  <xdr:twoCellAnchor editAs="oneCell">
    <xdr:from>
      <xdr:col>12</xdr:col>
      <xdr:colOff>1094017</xdr:colOff>
      <xdr:row>14</xdr:row>
      <xdr:rowOff>142534</xdr:rowOff>
    </xdr:from>
    <xdr:to>
      <xdr:col>12</xdr:col>
      <xdr:colOff>1528117</xdr:colOff>
      <xdr:row>17</xdr:row>
      <xdr:rowOff>84830</xdr:rowOff>
    </xdr:to>
    <xdr:pic>
      <xdr:nvPicPr>
        <xdr:cNvPr id="104" name="Grafik 103">
          <a:extLst>
            <a:ext uri="{FF2B5EF4-FFF2-40B4-BE49-F238E27FC236}">
              <a16:creationId xmlns:a16="http://schemas.microsoft.com/office/drawing/2014/main" id="{00000000-0008-0000-0000-000068000000}"/>
            </a:ext>
          </a:extLst>
        </xdr:cNvPr>
        <xdr:cNvPicPr>
          <a:picLocks noChangeAspect="1"/>
        </xdr:cNvPicPr>
      </xdr:nvPicPr>
      <xdr:blipFill>
        <a:blip xmlns:r="http://schemas.openxmlformats.org/officeDocument/2006/relationships" r:embed="rId10">
          <a:clrChange>
            <a:clrFrom>
              <a:srgbClr val="FFFFFF"/>
            </a:clrFrom>
            <a:clrTo>
              <a:srgbClr val="FFFFFF">
                <a:alpha val="0"/>
              </a:srgbClr>
            </a:clrTo>
          </a:clrChange>
        </a:blip>
        <a:stretch>
          <a:fillRect/>
        </a:stretch>
      </xdr:blipFill>
      <xdr:spPr>
        <a:xfrm>
          <a:off x="32133611" y="2976222"/>
          <a:ext cx="434100" cy="489983"/>
        </a:xfrm>
        <a:prstGeom prst="rect">
          <a:avLst/>
        </a:prstGeom>
      </xdr:spPr>
    </xdr:pic>
    <xdr:clientData/>
  </xdr:twoCellAnchor>
  <xdr:twoCellAnchor editAs="oneCell">
    <xdr:from>
      <xdr:col>12</xdr:col>
      <xdr:colOff>681715</xdr:colOff>
      <xdr:row>15</xdr:row>
      <xdr:rowOff>43202</xdr:rowOff>
    </xdr:from>
    <xdr:to>
      <xdr:col>12</xdr:col>
      <xdr:colOff>1052720</xdr:colOff>
      <xdr:row>17</xdr:row>
      <xdr:rowOff>45334</xdr:rowOff>
    </xdr:to>
    <xdr:pic>
      <xdr:nvPicPr>
        <xdr:cNvPr id="105" name="Grafik 104">
          <a:extLst>
            <a:ext uri="{FF2B5EF4-FFF2-40B4-BE49-F238E27FC236}">
              <a16:creationId xmlns:a16="http://schemas.microsoft.com/office/drawing/2014/main" id="{00000000-0008-0000-0000-000069000000}"/>
            </a:ext>
          </a:extLst>
        </xdr:cNvPr>
        <xdr:cNvPicPr>
          <a:picLocks noChangeAspect="1"/>
        </xdr:cNvPicPr>
      </xdr:nvPicPr>
      <xdr:blipFill>
        <a:blip xmlns:r="http://schemas.openxmlformats.org/officeDocument/2006/relationships" r:embed="rId6">
          <a:clrChange>
            <a:clrFrom>
              <a:srgbClr val="FFFFFF"/>
            </a:clrFrom>
            <a:clrTo>
              <a:srgbClr val="FFFFFF">
                <a:alpha val="0"/>
              </a:srgbClr>
            </a:clrTo>
          </a:clrChange>
        </a:blip>
        <a:stretch>
          <a:fillRect/>
        </a:stretch>
      </xdr:blipFill>
      <xdr:spPr>
        <a:xfrm>
          <a:off x="31721309" y="3055483"/>
          <a:ext cx="371005" cy="361701"/>
        </a:xfrm>
        <a:prstGeom prst="rect">
          <a:avLst/>
        </a:prstGeom>
      </xdr:spPr>
    </xdr:pic>
    <xdr:clientData/>
  </xdr:twoCellAnchor>
  <xdr:twoCellAnchor editAs="oneCell">
    <xdr:from>
      <xdr:col>10</xdr:col>
      <xdr:colOff>104056</xdr:colOff>
      <xdr:row>12</xdr:row>
      <xdr:rowOff>50913</xdr:rowOff>
    </xdr:from>
    <xdr:to>
      <xdr:col>10</xdr:col>
      <xdr:colOff>541246</xdr:colOff>
      <xdr:row>17</xdr:row>
      <xdr:rowOff>153458</xdr:rowOff>
    </xdr:to>
    <xdr:pic>
      <xdr:nvPicPr>
        <xdr:cNvPr id="106" name="Picture 4">
          <a:extLst>
            <a:ext uri="{FF2B5EF4-FFF2-40B4-BE49-F238E27FC236}">
              <a16:creationId xmlns:a16="http://schemas.microsoft.com/office/drawing/2014/main" id="{00000000-0008-0000-0000-00006A000000}"/>
            </a:ext>
          </a:extLst>
        </xdr:cNvPr>
        <xdr:cNvPicPr>
          <a:picLocks noChangeAspect="1" noChangeArrowheads="1"/>
        </xdr:cNvPicPr>
      </xdr:nvPicPr>
      <xdr:blipFill rotWithShape="1">
        <a:blip xmlns:r="http://schemas.openxmlformats.org/officeDocument/2006/relationships" r:embed="rId8" cstate="print">
          <a:clrChange>
            <a:clrFrom>
              <a:srgbClr val="FFFFFF"/>
            </a:clrFrom>
            <a:clrTo>
              <a:srgbClr val="FFFFFF">
                <a:alpha val="0"/>
              </a:srgbClr>
            </a:clrTo>
          </a:clrChange>
          <a:extLst>
            <a:ext uri="{BEBA8EAE-BF5A-486C-A8C5-ECC9F3942E4B}">
              <a14:imgProps xmlns:a14="http://schemas.microsoft.com/office/drawing/2010/main">
                <a14:imgLayer r:embed="rId9">
                  <a14:imgEffect>
                    <a14:sharpenSoften amount="-25000"/>
                  </a14:imgEffect>
                  <a14:imgEffect>
                    <a14:brightnessContrast bright="20000"/>
                  </a14:imgEffect>
                </a14:imgLayer>
              </a14:imgProps>
            </a:ext>
            <a:ext uri="{28A0092B-C50C-407E-A947-70E740481C1C}">
              <a14:useLocalDpi xmlns:a14="http://schemas.microsoft.com/office/drawing/2010/main" val="0"/>
            </a:ext>
          </a:extLst>
        </a:blip>
        <a:srcRect l="75810" r="7112"/>
        <a:stretch/>
      </xdr:blipFill>
      <xdr:spPr bwMode="auto">
        <a:xfrm>
          <a:off x="29652723" y="2516830"/>
          <a:ext cx="437190" cy="1032820"/>
        </a:xfrm>
        <a:prstGeom prst="rect">
          <a:avLst/>
        </a:prstGeom>
        <a:noFill/>
        <a:ln>
          <a:noFill/>
        </a:ln>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Lst>
      </xdr:spPr>
    </xdr:pic>
    <xdr:clientData/>
  </xdr:twoCellAnchor>
  <xdr:twoCellAnchor editAs="oneCell">
    <xdr:from>
      <xdr:col>10</xdr:col>
      <xdr:colOff>628690</xdr:colOff>
      <xdr:row>12</xdr:row>
      <xdr:rowOff>71626</xdr:rowOff>
    </xdr:from>
    <xdr:to>
      <xdr:col>10</xdr:col>
      <xdr:colOff>962423</xdr:colOff>
      <xdr:row>14</xdr:row>
      <xdr:rowOff>47451</xdr:rowOff>
    </xdr:to>
    <xdr:pic>
      <xdr:nvPicPr>
        <xdr:cNvPr id="107" name="Grafik 106">
          <a:extLst>
            <a:ext uri="{FF2B5EF4-FFF2-40B4-BE49-F238E27FC236}">
              <a16:creationId xmlns:a16="http://schemas.microsoft.com/office/drawing/2014/main" id="{00000000-0008-0000-0000-00006B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blip>
        <a:stretch>
          <a:fillRect/>
        </a:stretch>
      </xdr:blipFill>
      <xdr:spPr>
        <a:xfrm>
          <a:off x="30177357" y="2537543"/>
          <a:ext cx="333733" cy="355766"/>
        </a:xfrm>
        <a:prstGeom prst="rect">
          <a:avLst/>
        </a:prstGeom>
      </xdr:spPr>
    </xdr:pic>
    <xdr:clientData/>
  </xdr:twoCellAnchor>
  <xdr:twoCellAnchor editAs="oneCell">
    <xdr:from>
      <xdr:col>9</xdr:col>
      <xdr:colOff>1079200</xdr:colOff>
      <xdr:row>12</xdr:row>
      <xdr:rowOff>57603</xdr:rowOff>
    </xdr:from>
    <xdr:to>
      <xdr:col>9</xdr:col>
      <xdr:colOff>1513300</xdr:colOff>
      <xdr:row>14</xdr:row>
      <xdr:rowOff>174374</xdr:rowOff>
    </xdr:to>
    <xdr:pic>
      <xdr:nvPicPr>
        <xdr:cNvPr id="108" name="Grafik 107">
          <a:extLst>
            <a:ext uri="{FF2B5EF4-FFF2-40B4-BE49-F238E27FC236}">
              <a16:creationId xmlns:a16="http://schemas.microsoft.com/office/drawing/2014/main" id="{00000000-0008-0000-0000-00006C000000}"/>
            </a:ext>
          </a:extLst>
        </xdr:cNvPr>
        <xdr:cNvPicPr>
          <a:picLocks noChangeAspect="1"/>
        </xdr:cNvPicPr>
      </xdr:nvPicPr>
      <xdr:blipFill>
        <a:blip xmlns:r="http://schemas.openxmlformats.org/officeDocument/2006/relationships" r:embed="rId10">
          <a:clrChange>
            <a:clrFrom>
              <a:srgbClr val="FFFFFF"/>
            </a:clrFrom>
            <a:clrTo>
              <a:srgbClr val="FFFFFF">
                <a:alpha val="0"/>
              </a:srgbClr>
            </a:clrTo>
          </a:clrChange>
        </a:blip>
        <a:stretch>
          <a:fillRect/>
        </a:stretch>
      </xdr:blipFill>
      <xdr:spPr>
        <a:xfrm>
          <a:off x="29050950" y="2523520"/>
          <a:ext cx="434100" cy="492630"/>
        </a:xfrm>
        <a:prstGeom prst="rect">
          <a:avLst/>
        </a:prstGeom>
      </xdr:spPr>
    </xdr:pic>
    <xdr:clientData/>
  </xdr:twoCellAnchor>
  <xdr:twoCellAnchor editAs="oneCell">
    <xdr:from>
      <xdr:col>9</xdr:col>
      <xdr:colOff>696424</xdr:colOff>
      <xdr:row>12</xdr:row>
      <xdr:rowOff>65276</xdr:rowOff>
    </xdr:from>
    <xdr:to>
      <xdr:col>9</xdr:col>
      <xdr:colOff>1030157</xdr:colOff>
      <xdr:row>14</xdr:row>
      <xdr:rowOff>41101</xdr:rowOff>
    </xdr:to>
    <xdr:pic>
      <xdr:nvPicPr>
        <xdr:cNvPr id="109" name="Grafik 108">
          <a:extLst>
            <a:ext uri="{FF2B5EF4-FFF2-40B4-BE49-F238E27FC236}">
              <a16:creationId xmlns:a16="http://schemas.microsoft.com/office/drawing/2014/main" id="{00000000-0008-0000-0000-00006D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blip>
        <a:stretch>
          <a:fillRect/>
        </a:stretch>
      </xdr:blipFill>
      <xdr:spPr>
        <a:xfrm>
          <a:off x="28668174" y="2531193"/>
          <a:ext cx="333733" cy="355766"/>
        </a:xfrm>
        <a:prstGeom prst="rect">
          <a:avLst/>
        </a:prstGeom>
      </xdr:spPr>
    </xdr:pic>
    <xdr:clientData/>
  </xdr:twoCellAnchor>
  <xdr:twoCellAnchor editAs="oneCell">
    <xdr:from>
      <xdr:col>15</xdr:col>
      <xdr:colOff>100842</xdr:colOff>
      <xdr:row>12</xdr:row>
      <xdr:rowOff>44750</xdr:rowOff>
    </xdr:from>
    <xdr:to>
      <xdr:col>15</xdr:col>
      <xdr:colOff>558451</xdr:colOff>
      <xdr:row>18</xdr:row>
      <xdr:rowOff>5034</xdr:rowOff>
    </xdr:to>
    <xdr:pic>
      <xdr:nvPicPr>
        <xdr:cNvPr id="110" name="Picture 4">
          <a:extLst>
            <a:ext uri="{FF2B5EF4-FFF2-40B4-BE49-F238E27FC236}">
              <a16:creationId xmlns:a16="http://schemas.microsoft.com/office/drawing/2014/main" id="{00000000-0008-0000-0000-00006E000000}"/>
            </a:ext>
          </a:extLst>
        </xdr:cNvPr>
        <xdr:cNvPicPr>
          <a:picLocks noChangeAspect="1" noChangeArrowheads="1"/>
        </xdr:cNvPicPr>
      </xdr:nvPicPr>
      <xdr:blipFill rotWithShape="1">
        <a:blip xmlns:r="http://schemas.openxmlformats.org/officeDocument/2006/relationships" r:embed="rId1" cstate="print">
          <a:clrChange>
            <a:clrFrom>
              <a:srgbClr val="FFFFFF"/>
            </a:clrFrom>
            <a:clrTo>
              <a:srgbClr val="FFFFFF">
                <a:alpha val="0"/>
              </a:srgbClr>
            </a:clrTo>
          </a:clrChange>
          <a:extLst>
            <a:ext uri="{BEBA8EAE-BF5A-486C-A8C5-ECC9F3942E4B}">
              <a14:imgProps xmlns:a14="http://schemas.microsoft.com/office/drawing/2010/main">
                <a14:imgLayer r:embed="rId2">
                  <a14:imgEffect>
                    <a14:sharpenSoften amount="-25000"/>
                  </a14:imgEffect>
                  <a14:imgEffect>
                    <a14:brightnessContrast bright="20000"/>
                  </a14:imgEffect>
                </a14:imgLayer>
              </a14:imgProps>
            </a:ext>
            <a:ext uri="{28A0092B-C50C-407E-A947-70E740481C1C}">
              <a14:useLocalDpi xmlns:a14="http://schemas.microsoft.com/office/drawing/2010/main" val="0"/>
            </a:ext>
          </a:extLst>
        </a:blip>
        <a:srcRect l="75810" r="7112"/>
        <a:stretch/>
      </xdr:blipFill>
      <xdr:spPr bwMode="auto">
        <a:xfrm>
          <a:off x="37534092" y="2510667"/>
          <a:ext cx="457609" cy="1081059"/>
        </a:xfrm>
        <a:prstGeom prst="rect">
          <a:avLst/>
        </a:prstGeom>
        <a:noFill/>
        <a:ln>
          <a:noFill/>
        </a:ln>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Lst>
      </xdr:spPr>
    </xdr:pic>
    <xdr:clientData/>
  </xdr:twoCellAnchor>
  <xdr:twoCellAnchor editAs="oneCell">
    <xdr:from>
      <xdr:col>15</xdr:col>
      <xdr:colOff>621241</xdr:colOff>
      <xdr:row>12</xdr:row>
      <xdr:rowOff>51281</xdr:rowOff>
    </xdr:from>
    <xdr:to>
      <xdr:col>15</xdr:col>
      <xdr:colOff>954974</xdr:colOff>
      <xdr:row>14</xdr:row>
      <xdr:rowOff>37497</xdr:rowOff>
    </xdr:to>
    <xdr:pic>
      <xdr:nvPicPr>
        <xdr:cNvPr id="111" name="Grafik 110">
          <a:extLst>
            <a:ext uri="{FF2B5EF4-FFF2-40B4-BE49-F238E27FC236}">
              <a16:creationId xmlns:a16="http://schemas.microsoft.com/office/drawing/2014/main" id="{00000000-0008-0000-0000-00006F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blip>
        <a:stretch>
          <a:fillRect/>
        </a:stretch>
      </xdr:blipFill>
      <xdr:spPr>
        <a:xfrm>
          <a:off x="38054491" y="2517198"/>
          <a:ext cx="333733" cy="366157"/>
        </a:xfrm>
        <a:prstGeom prst="rect">
          <a:avLst/>
        </a:prstGeom>
      </xdr:spPr>
    </xdr:pic>
    <xdr:clientData/>
  </xdr:twoCellAnchor>
  <xdr:twoCellAnchor editAs="oneCell">
    <xdr:from>
      <xdr:col>15</xdr:col>
      <xdr:colOff>610202</xdr:colOff>
      <xdr:row>15</xdr:row>
      <xdr:rowOff>96912</xdr:rowOff>
    </xdr:from>
    <xdr:to>
      <xdr:col>15</xdr:col>
      <xdr:colOff>981207</xdr:colOff>
      <xdr:row>17</xdr:row>
      <xdr:rowOff>99044</xdr:rowOff>
    </xdr:to>
    <xdr:pic>
      <xdr:nvPicPr>
        <xdr:cNvPr id="112" name="Grafik 111">
          <a:extLst>
            <a:ext uri="{FF2B5EF4-FFF2-40B4-BE49-F238E27FC236}">
              <a16:creationId xmlns:a16="http://schemas.microsoft.com/office/drawing/2014/main" id="{00000000-0008-0000-0000-000070000000}"/>
            </a:ext>
          </a:extLst>
        </xdr:cNvPr>
        <xdr:cNvPicPr>
          <a:picLocks noChangeAspect="1"/>
        </xdr:cNvPicPr>
      </xdr:nvPicPr>
      <xdr:blipFill>
        <a:blip xmlns:r="http://schemas.openxmlformats.org/officeDocument/2006/relationships" r:embed="rId6">
          <a:clrChange>
            <a:clrFrom>
              <a:srgbClr val="FFFFFF"/>
            </a:clrFrom>
            <a:clrTo>
              <a:srgbClr val="FFFFFF">
                <a:alpha val="0"/>
              </a:srgbClr>
            </a:clrTo>
          </a:clrChange>
        </a:blip>
        <a:stretch>
          <a:fillRect/>
        </a:stretch>
      </xdr:blipFill>
      <xdr:spPr>
        <a:xfrm>
          <a:off x="38043452" y="3113162"/>
          <a:ext cx="371005" cy="363024"/>
        </a:xfrm>
        <a:prstGeom prst="rect">
          <a:avLst/>
        </a:prstGeom>
      </xdr:spPr>
    </xdr:pic>
    <xdr:clientData/>
  </xdr:twoCellAnchor>
  <xdr:twoCellAnchor editAs="oneCell">
    <xdr:from>
      <xdr:col>15</xdr:col>
      <xdr:colOff>1172330</xdr:colOff>
      <xdr:row>12</xdr:row>
      <xdr:rowOff>88295</xdr:rowOff>
    </xdr:from>
    <xdr:to>
      <xdr:col>15</xdr:col>
      <xdr:colOff>1538816</xdr:colOff>
      <xdr:row>14</xdr:row>
      <xdr:rowOff>145388</xdr:rowOff>
    </xdr:to>
    <xdr:pic>
      <xdr:nvPicPr>
        <xdr:cNvPr id="116" name="Grafik 115">
          <a:extLst>
            <a:ext uri="{FF2B5EF4-FFF2-40B4-BE49-F238E27FC236}">
              <a16:creationId xmlns:a16="http://schemas.microsoft.com/office/drawing/2014/main" id="{00000000-0008-0000-0000-000074000000}"/>
            </a:ext>
          </a:extLst>
        </xdr:cNvPr>
        <xdr:cNvPicPr>
          <a:picLocks noChangeAspect="1"/>
        </xdr:cNvPicPr>
      </xdr:nvPicPr>
      <xdr:blipFill>
        <a:blip xmlns:r="http://schemas.openxmlformats.org/officeDocument/2006/relationships" r:embed="rId11">
          <a:clrChange>
            <a:clrFrom>
              <a:srgbClr val="FFFFFF"/>
            </a:clrFrom>
            <a:clrTo>
              <a:srgbClr val="FFFFFF">
                <a:alpha val="0"/>
              </a:srgbClr>
            </a:clrTo>
          </a:clrChange>
        </a:blip>
        <a:stretch>
          <a:fillRect/>
        </a:stretch>
      </xdr:blipFill>
      <xdr:spPr>
        <a:xfrm>
          <a:off x="38605580" y="2554212"/>
          <a:ext cx="366486" cy="437034"/>
        </a:xfrm>
        <a:prstGeom prst="rect">
          <a:avLst/>
        </a:prstGeom>
      </xdr:spPr>
    </xdr:pic>
    <xdr:clientData/>
  </xdr:twoCellAnchor>
  <xdr:twoCellAnchor editAs="oneCell">
    <xdr:from>
      <xdr:col>14</xdr:col>
      <xdr:colOff>1072850</xdr:colOff>
      <xdr:row>12</xdr:row>
      <xdr:rowOff>40669</xdr:rowOff>
    </xdr:from>
    <xdr:to>
      <xdr:col>14</xdr:col>
      <xdr:colOff>1506950</xdr:colOff>
      <xdr:row>14</xdr:row>
      <xdr:rowOff>153358</xdr:rowOff>
    </xdr:to>
    <xdr:pic>
      <xdr:nvPicPr>
        <xdr:cNvPr id="117" name="Grafik 116">
          <a:extLst>
            <a:ext uri="{FF2B5EF4-FFF2-40B4-BE49-F238E27FC236}">
              <a16:creationId xmlns:a16="http://schemas.microsoft.com/office/drawing/2014/main" id="{00000000-0008-0000-0000-000075000000}"/>
            </a:ext>
          </a:extLst>
        </xdr:cNvPr>
        <xdr:cNvPicPr>
          <a:picLocks noChangeAspect="1"/>
        </xdr:cNvPicPr>
      </xdr:nvPicPr>
      <xdr:blipFill>
        <a:blip xmlns:r="http://schemas.openxmlformats.org/officeDocument/2006/relationships" r:embed="rId10">
          <a:clrChange>
            <a:clrFrom>
              <a:srgbClr val="FFFFFF"/>
            </a:clrFrom>
            <a:clrTo>
              <a:srgbClr val="FFFFFF">
                <a:alpha val="0"/>
              </a:srgbClr>
            </a:clrTo>
          </a:clrChange>
        </a:blip>
        <a:stretch>
          <a:fillRect/>
        </a:stretch>
      </xdr:blipFill>
      <xdr:spPr>
        <a:xfrm>
          <a:off x="36929183" y="2506586"/>
          <a:ext cx="434100" cy="492630"/>
        </a:xfrm>
        <a:prstGeom prst="rect">
          <a:avLst/>
        </a:prstGeom>
      </xdr:spPr>
    </xdr:pic>
    <xdr:clientData/>
  </xdr:twoCellAnchor>
  <xdr:twoCellAnchor editAs="oneCell">
    <xdr:from>
      <xdr:col>18</xdr:col>
      <xdr:colOff>1070730</xdr:colOff>
      <xdr:row>12</xdr:row>
      <xdr:rowOff>7861</xdr:rowOff>
    </xdr:from>
    <xdr:to>
      <xdr:col>18</xdr:col>
      <xdr:colOff>1437216</xdr:colOff>
      <xdr:row>14</xdr:row>
      <xdr:rowOff>64954</xdr:rowOff>
    </xdr:to>
    <xdr:pic>
      <xdr:nvPicPr>
        <xdr:cNvPr id="118" name="Grafik 117">
          <a:extLst>
            <a:ext uri="{FF2B5EF4-FFF2-40B4-BE49-F238E27FC236}">
              <a16:creationId xmlns:a16="http://schemas.microsoft.com/office/drawing/2014/main" id="{00000000-0008-0000-0000-000076000000}"/>
            </a:ext>
          </a:extLst>
        </xdr:cNvPr>
        <xdr:cNvPicPr>
          <a:picLocks noChangeAspect="1"/>
        </xdr:cNvPicPr>
      </xdr:nvPicPr>
      <xdr:blipFill>
        <a:blip xmlns:r="http://schemas.openxmlformats.org/officeDocument/2006/relationships" r:embed="rId11">
          <a:clrChange>
            <a:clrFrom>
              <a:srgbClr val="FFFFFF"/>
            </a:clrFrom>
            <a:clrTo>
              <a:srgbClr val="FFFFFF">
                <a:alpha val="0"/>
              </a:srgbClr>
            </a:clrTo>
          </a:clrChange>
        </a:blip>
        <a:stretch>
          <a:fillRect/>
        </a:stretch>
      </xdr:blipFill>
      <xdr:spPr>
        <a:xfrm>
          <a:off x="43234730" y="2473778"/>
          <a:ext cx="366486" cy="437034"/>
        </a:xfrm>
        <a:prstGeom prst="rect">
          <a:avLst/>
        </a:prstGeom>
      </xdr:spPr>
    </xdr:pic>
    <xdr:clientData/>
  </xdr:twoCellAnchor>
  <xdr:twoCellAnchor editAs="oneCell">
    <xdr:from>
      <xdr:col>17</xdr:col>
      <xdr:colOff>99783</xdr:colOff>
      <xdr:row>12</xdr:row>
      <xdr:rowOff>2720</xdr:rowOff>
    </xdr:from>
    <xdr:to>
      <xdr:col>17</xdr:col>
      <xdr:colOff>557392</xdr:colOff>
      <xdr:row>17</xdr:row>
      <xdr:rowOff>155772</xdr:rowOff>
    </xdr:to>
    <xdr:pic>
      <xdr:nvPicPr>
        <xdr:cNvPr id="119" name="Picture 4">
          <a:extLst>
            <a:ext uri="{FF2B5EF4-FFF2-40B4-BE49-F238E27FC236}">
              <a16:creationId xmlns:a16="http://schemas.microsoft.com/office/drawing/2014/main" id="{00000000-0008-0000-0000-000077000000}"/>
            </a:ext>
          </a:extLst>
        </xdr:cNvPr>
        <xdr:cNvPicPr>
          <a:picLocks noChangeAspect="1" noChangeArrowheads="1"/>
        </xdr:cNvPicPr>
      </xdr:nvPicPr>
      <xdr:blipFill rotWithShape="1">
        <a:blip xmlns:r="http://schemas.openxmlformats.org/officeDocument/2006/relationships" r:embed="rId3" cstate="print">
          <a:clrChange>
            <a:clrFrom>
              <a:srgbClr val="FFFFFF"/>
            </a:clrFrom>
            <a:clrTo>
              <a:srgbClr val="FFFFFF">
                <a:alpha val="0"/>
              </a:srgbClr>
            </a:clrTo>
          </a:clrChange>
          <a:extLst>
            <a:ext uri="{BEBA8EAE-BF5A-486C-A8C5-ECC9F3942E4B}">
              <a14:imgProps xmlns:a14="http://schemas.microsoft.com/office/drawing/2010/main">
                <a14:imgLayer r:embed="rId4">
                  <a14:imgEffect>
                    <a14:sharpenSoften amount="-25000"/>
                  </a14:imgEffect>
                  <a14:imgEffect>
                    <a14:brightnessContrast bright="20000"/>
                  </a14:imgEffect>
                </a14:imgLayer>
              </a14:imgProps>
            </a:ext>
            <a:ext uri="{28A0092B-C50C-407E-A947-70E740481C1C}">
              <a14:useLocalDpi xmlns:a14="http://schemas.microsoft.com/office/drawing/2010/main" val="0"/>
            </a:ext>
          </a:extLst>
        </a:blip>
        <a:srcRect l="75810" r="7112"/>
        <a:stretch/>
      </xdr:blipFill>
      <xdr:spPr bwMode="auto">
        <a:xfrm>
          <a:off x="40686866" y="2468637"/>
          <a:ext cx="457609" cy="1083327"/>
        </a:xfrm>
        <a:prstGeom prst="rect">
          <a:avLst/>
        </a:prstGeom>
        <a:noFill/>
        <a:ln>
          <a:noFill/>
        </a:ln>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Lst>
      </xdr:spPr>
    </xdr:pic>
    <xdr:clientData/>
  </xdr:twoCellAnchor>
  <xdr:twoCellAnchor editAs="oneCell">
    <xdr:from>
      <xdr:col>17</xdr:col>
      <xdr:colOff>521000</xdr:colOff>
      <xdr:row>15</xdr:row>
      <xdr:rowOff>84665</xdr:rowOff>
    </xdr:from>
    <xdr:to>
      <xdr:col>17</xdr:col>
      <xdr:colOff>892005</xdr:colOff>
      <xdr:row>17</xdr:row>
      <xdr:rowOff>86797</xdr:rowOff>
    </xdr:to>
    <xdr:pic>
      <xdr:nvPicPr>
        <xdr:cNvPr id="120" name="Grafik 119">
          <a:extLst>
            <a:ext uri="{FF2B5EF4-FFF2-40B4-BE49-F238E27FC236}">
              <a16:creationId xmlns:a16="http://schemas.microsoft.com/office/drawing/2014/main" id="{00000000-0008-0000-0000-000078000000}"/>
            </a:ext>
          </a:extLst>
        </xdr:cNvPr>
        <xdr:cNvPicPr>
          <a:picLocks noChangeAspect="1"/>
        </xdr:cNvPicPr>
      </xdr:nvPicPr>
      <xdr:blipFill>
        <a:blip xmlns:r="http://schemas.openxmlformats.org/officeDocument/2006/relationships" r:embed="rId6">
          <a:clrChange>
            <a:clrFrom>
              <a:srgbClr val="FFFFFF"/>
            </a:clrFrom>
            <a:clrTo>
              <a:srgbClr val="FFFFFF">
                <a:alpha val="0"/>
              </a:srgbClr>
            </a:clrTo>
          </a:clrChange>
        </a:blip>
        <a:stretch>
          <a:fillRect/>
        </a:stretch>
      </xdr:blipFill>
      <xdr:spPr>
        <a:xfrm>
          <a:off x="41108083" y="3100915"/>
          <a:ext cx="371005" cy="363024"/>
        </a:xfrm>
        <a:prstGeom prst="rect">
          <a:avLst/>
        </a:prstGeom>
      </xdr:spPr>
    </xdr:pic>
    <xdr:clientData/>
  </xdr:twoCellAnchor>
  <xdr:twoCellAnchor editAs="oneCell">
    <xdr:from>
      <xdr:col>17</xdr:col>
      <xdr:colOff>607070</xdr:colOff>
      <xdr:row>12</xdr:row>
      <xdr:rowOff>104737</xdr:rowOff>
    </xdr:from>
    <xdr:to>
      <xdr:col>17</xdr:col>
      <xdr:colOff>940803</xdr:colOff>
      <xdr:row>14</xdr:row>
      <xdr:rowOff>90087</xdr:rowOff>
    </xdr:to>
    <xdr:pic>
      <xdr:nvPicPr>
        <xdr:cNvPr id="121" name="Grafik 120">
          <a:extLst>
            <a:ext uri="{FF2B5EF4-FFF2-40B4-BE49-F238E27FC236}">
              <a16:creationId xmlns:a16="http://schemas.microsoft.com/office/drawing/2014/main" id="{00000000-0008-0000-0000-000079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blip>
        <a:stretch>
          <a:fillRect/>
        </a:stretch>
      </xdr:blipFill>
      <xdr:spPr>
        <a:xfrm>
          <a:off x="41194153" y="2570654"/>
          <a:ext cx="333733" cy="365291"/>
        </a:xfrm>
        <a:prstGeom prst="rect">
          <a:avLst/>
        </a:prstGeom>
      </xdr:spPr>
    </xdr:pic>
    <xdr:clientData/>
  </xdr:twoCellAnchor>
  <xdr:twoCellAnchor editAs="oneCell">
    <xdr:from>
      <xdr:col>17</xdr:col>
      <xdr:colOff>963237</xdr:colOff>
      <xdr:row>15</xdr:row>
      <xdr:rowOff>1359</xdr:rowOff>
    </xdr:from>
    <xdr:to>
      <xdr:col>17</xdr:col>
      <xdr:colOff>1397337</xdr:colOff>
      <xdr:row>17</xdr:row>
      <xdr:rowOff>133097</xdr:rowOff>
    </xdr:to>
    <xdr:pic>
      <xdr:nvPicPr>
        <xdr:cNvPr id="122" name="Grafik 121">
          <a:extLst>
            <a:ext uri="{FF2B5EF4-FFF2-40B4-BE49-F238E27FC236}">
              <a16:creationId xmlns:a16="http://schemas.microsoft.com/office/drawing/2014/main" id="{00000000-0008-0000-0000-00007A000000}"/>
            </a:ext>
          </a:extLst>
        </xdr:cNvPr>
        <xdr:cNvPicPr>
          <a:picLocks noChangeAspect="1"/>
        </xdr:cNvPicPr>
      </xdr:nvPicPr>
      <xdr:blipFill>
        <a:blip xmlns:r="http://schemas.openxmlformats.org/officeDocument/2006/relationships" r:embed="rId10">
          <a:clrChange>
            <a:clrFrom>
              <a:srgbClr val="FFFFFF"/>
            </a:clrFrom>
            <a:clrTo>
              <a:srgbClr val="FFFFFF">
                <a:alpha val="0"/>
              </a:srgbClr>
            </a:clrTo>
          </a:clrChange>
        </a:blip>
        <a:stretch>
          <a:fillRect/>
        </a:stretch>
      </xdr:blipFill>
      <xdr:spPr>
        <a:xfrm>
          <a:off x="41550320" y="3017609"/>
          <a:ext cx="434100" cy="492630"/>
        </a:xfrm>
        <a:prstGeom prst="rect">
          <a:avLst/>
        </a:prstGeom>
      </xdr:spPr>
    </xdr:pic>
    <xdr:clientData/>
  </xdr:twoCellAnchor>
  <xdr:twoCellAnchor editAs="oneCell">
    <xdr:from>
      <xdr:col>17</xdr:col>
      <xdr:colOff>978659</xdr:colOff>
      <xdr:row>12</xdr:row>
      <xdr:rowOff>15269</xdr:rowOff>
    </xdr:from>
    <xdr:to>
      <xdr:col>17</xdr:col>
      <xdr:colOff>1412759</xdr:colOff>
      <xdr:row>14</xdr:row>
      <xdr:rowOff>127958</xdr:rowOff>
    </xdr:to>
    <xdr:pic>
      <xdr:nvPicPr>
        <xdr:cNvPr id="123" name="Grafik 122">
          <a:extLst>
            <a:ext uri="{FF2B5EF4-FFF2-40B4-BE49-F238E27FC236}">
              <a16:creationId xmlns:a16="http://schemas.microsoft.com/office/drawing/2014/main" id="{00000000-0008-0000-0000-00007B000000}"/>
            </a:ext>
          </a:extLst>
        </xdr:cNvPr>
        <xdr:cNvPicPr>
          <a:picLocks noChangeAspect="1"/>
        </xdr:cNvPicPr>
      </xdr:nvPicPr>
      <xdr:blipFill>
        <a:blip xmlns:r="http://schemas.openxmlformats.org/officeDocument/2006/relationships" r:embed="rId10">
          <a:clrChange>
            <a:clrFrom>
              <a:srgbClr val="FFFFFF"/>
            </a:clrFrom>
            <a:clrTo>
              <a:srgbClr val="FFFFFF">
                <a:alpha val="0"/>
              </a:srgbClr>
            </a:clrTo>
          </a:clrChange>
        </a:blip>
        <a:stretch>
          <a:fillRect/>
        </a:stretch>
      </xdr:blipFill>
      <xdr:spPr>
        <a:xfrm>
          <a:off x="41565742" y="2481186"/>
          <a:ext cx="434100" cy="492630"/>
        </a:xfrm>
        <a:prstGeom prst="rect">
          <a:avLst/>
        </a:prstGeom>
      </xdr:spPr>
    </xdr:pic>
    <xdr:clientData/>
  </xdr:twoCellAnchor>
  <xdr:twoCellAnchor editAs="oneCell">
    <xdr:from>
      <xdr:col>0</xdr:col>
      <xdr:colOff>619126</xdr:colOff>
      <xdr:row>13</xdr:row>
      <xdr:rowOff>173037</xdr:rowOff>
    </xdr:from>
    <xdr:to>
      <xdr:col>1</xdr:col>
      <xdr:colOff>2083595</xdr:colOff>
      <xdr:row>27</xdr:row>
      <xdr:rowOff>880966</xdr:rowOff>
    </xdr:to>
    <xdr:pic>
      <xdr:nvPicPr>
        <xdr:cNvPr id="2" name="Grafik 1">
          <a:hlinkClick xmlns:r="http://schemas.openxmlformats.org/officeDocument/2006/relationships" r:id="rId12"/>
          <a:extLst>
            <a:ext uri="{FF2B5EF4-FFF2-40B4-BE49-F238E27FC236}">
              <a16:creationId xmlns:a16="http://schemas.microsoft.com/office/drawing/2014/main" id="{D0B03188-7EA4-498E-B6CA-5798AFEFC98A}"/>
            </a:ext>
          </a:extLst>
        </xdr:cNvPr>
        <xdr:cNvPicPr>
          <a:picLocks noChangeAspect="1"/>
        </xdr:cNvPicPr>
      </xdr:nvPicPr>
      <xdr:blipFill>
        <a:blip xmlns:r="http://schemas.openxmlformats.org/officeDocument/2006/relationships" r:embed="rId13"/>
        <a:stretch>
          <a:fillRect/>
        </a:stretch>
      </xdr:blipFill>
      <xdr:spPr>
        <a:xfrm>
          <a:off x="619126" y="3030537"/>
          <a:ext cx="3893344" cy="5363273"/>
        </a:xfrm>
        <a:prstGeom prst="rect">
          <a:avLst/>
        </a:prstGeom>
      </xdr:spPr>
    </xdr:pic>
    <xdr:clientData/>
  </xdr:twoCellAnchor>
  <xdr:twoCellAnchor editAs="oneCell">
    <xdr:from>
      <xdr:col>20</xdr:col>
      <xdr:colOff>38101</xdr:colOff>
      <xdr:row>2</xdr:row>
      <xdr:rowOff>57150</xdr:rowOff>
    </xdr:from>
    <xdr:to>
      <xdr:col>23</xdr:col>
      <xdr:colOff>609601</xdr:colOff>
      <xdr:row>17</xdr:row>
      <xdr:rowOff>114971</xdr:rowOff>
    </xdr:to>
    <xdr:pic>
      <xdr:nvPicPr>
        <xdr:cNvPr id="3" name="Grafik 2">
          <a:extLst>
            <a:ext uri="{FF2B5EF4-FFF2-40B4-BE49-F238E27FC236}">
              <a16:creationId xmlns:a16="http://schemas.microsoft.com/office/drawing/2014/main" id="{994BD2A5-24A6-457A-A20F-5AD41839E3DC}"/>
            </a:ext>
          </a:extLst>
        </xdr:cNvPr>
        <xdr:cNvPicPr>
          <a:picLocks noChangeAspect="1"/>
        </xdr:cNvPicPr>
      </xdr:nvPicPr>
      <xdr:blipFill>
        <a:blip xmlns:r="http://schemas.openxmlformats.org/officeDocument/2006/relationships" r:embed="rId14"/>
        <a:stretch>
          <a:fillRect/>
        </a:stretch>
      </xdr:blipFill>
      <xdr:spPr>
        <a:xfrm>
          <a:off x="31137226" y="428625"/>
          <a:ext cx="7143750" cy="328679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cropscience.bayer.com/who-we-are/transparency/information-about-operator-safety-standards"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cropscience.bayer.com/who-we-are/transparency/information-about-operator-safety-standard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D638A-66C9-4F46-80B8-0B541B439969}">
  <dimension ref="G2:M30"/>
  <sheetViews>
    <sheetView showGridLines="0" zoomScale="85" zoomScaleNormal="85" workbookViewId="0">
      <selection activeCell="I7" sqref="I7"/>
    </sheetView>
  </sheetViews>
  <sheetFormatPr defaultColWidth="11" defaultRowHeight="14.25"/>
  <cols>
    <col min="8" max="8" width="21.375" customWidth="1"/>
    <col min="9" max="9" width="124.125" customWidth="1"/>
  </cols>
  <sheetData>
    <row r="2" spans="7:9">
      <c r="G2" t="s">
        <v>0</v>
      </c>
    </row>
    <row r="3" spans="7:9">
      <c r="G3" s="37" t="s">
        <v>1</v>
      </c>
    </row>
    <row r="4" spans="7:9">
      <c r="G4" t="s">
        <v>2</v>
      </c>
    </row>
    <row r="6" spans="7:9" ht="15">
      <c r="G6" t="s">
        <v>3</v>
      </c>
      <c r="H6" s="39" t="s">
        <v>4</v>
      </c>
    </row>
    <row r="7" spans="7:9">
      <c r="H7" s="36"/>
    </row>
    <row r="8" spans="7:9">
      <c r="G8" t="s">
        <v>5</v>
      </c>
    </row>
    <row r="9" spans="7:9">
      <c r="G9" t="s">
        <v>6</v>
      </c>
    </row>
    <row r="10" spans="7:9" ht="15">
      <c r="H10" s="41" t="s">
        <v>7</v>
      </c>
      <c r="I10" s="42" t="s">
        <v>8</v>
      </c>
    </row>
    <row r="11" spans="7:9" ht="28.5">
      <c r="H11" s="41" t="s">
        <v>9</v>
      </c>
      <c r="I11" s="42" t="s">
        <v>10</v>
      </c>
    </row>
    <row r="12" spans="7:9" ht="28.5">
      <c r="H12" s="41" t="s">
        <v>11</v>
      </c>
      <c r="I12" s="42" t="s">
        <v>12</v>
      </c>
    </row>
    <row r="13" spans="7:9" ht="28.5">
      <c r="H13" s="41" t="s">
        <v>13</v>
      </c>
      <c r="I13" s="42" t="s">
        <v>14</v>
      </c>
    </row>
    <row r="14" spans="7:9" ht="15">
      <c r="H14" s="41" t="s">
        <v>15</v>
      </c>
      <c r="I14" s="42" t="s">
        <v>16</v>
      </c>
    </row>
    <row r="15" spans="7:9" ht="28.5">
      <c r="H15" s="41" t="s">
        <v>17</v>
      </c>
      <c r="I15" s="42" t="s">
        <v>18</v>
      </c>
    </row>
    <row r="16" spans="7:9" ht="30">
      <c r="H16" s="43" t="s">
        <v>19</v>
      </c>
      <c r="I16" s="42" t="s">
        <v>20</v>
      </c>
    </row>
    <row r="17" spans="7:13" ht="30">
      <c r="H17" s="43" t="s">
        <v>21</v>
      </c>
      <c r="I17" s="42" t="s">
        <v>22</v>
      </c>
    </row>
    <row r="18" spans="7:13" ht="15">
      <c r="H18" s="41" t="s">
        <v>23</v>
      </c>
      <c r="I18" s="42" t="s">
        <v>24</v>
      </c>
    </row>
    <row r="19" spans="7:13" ht="42.75">
      <c r="H19" s="41" t="s">
        <v>25</v>
      </c>
      <c r="I19" s="42" t="s">
        <v>26</v>
      </c>
    </row>
    <row r="20" spans="7:13" ht="45">
      <c r="H20" s="43" t="s">
        <v>27</v>
      </c>
      <c r="I20" s="42" t="s">
        <v>28</v>
      </c>
    </row>
    <row r="21" spans="7:13">
      <c r="H21" s="11"/>
      <c r="I21" s="40"/>
    </row>
    <row r="22" spans="7:13">
      <c r="G22" t="s">
        <v>29</v>
      </c>
      <c r="H22" s="11"/>
      <c r="I22" s="40"/>
    </row>
    <row r="23" spans="7:13">
      <c r="G23" t="s">
        <v>30</v>
      </c>
      <c r="H23" s="11"/>
      <c r="I23" s="40"/>
    </row>
    <row r="24" spans="7:13" ht="43.5">
      <c r="H24" s="41" t="s">
        <v>31</v>
      </c>
      <c r="I24" s="44" t="s">
        <v>32</v>
      </c>
    </row>
    <row r="25" spans="7:13" ht="28.5">
      <c r="H25" s="41" t="s">
        <v>33</v>
      </c>
      <c r="I25" s="44" t="s">
        <v>34</v>
      </c>
    </row>
    <row r="28" spans="7:13" ht="15">
      <c r="G28" s="8" t="s">
        <v>35</v>
      </c>
      <c r="H28" s="8"/>
      <c r="I28" s="8"/>
      <c r="J28" s="8"/>
      <c r="K28" s="8"/>
      <c r="L28" s="8"/>
      <c r="M28" s="8"/>
    </row>
    <row r="30" spans="7:13" ht="15">
      <c r="G30" t="s">
        <v>36</v>
      </c>
    </row>
  </sheetData>
  <sheetProtection algorithmName="SHA-512" hashValue="UlcF81cHk3kDITGGw63vUmgA5p8CPHy0T5x+uo9D1n6/vpQmAdm1LSep7jNVyhMhZSbi9xEBVrQUH0RytdSqpA==" saltValue="JNeVQrMkFHmCmidBu3COkA==" spinCount="100000" sheet="1" objects="1" scenarios="1"/>
  <hyperlinks>
    <hyperlink ref="G3" r:id="rId1" xr:uid="{3C9D092E-0156-4BAE-B62F-78F9D0486B5F}"/>
  </hyperlinks>
  <pageMargins left="0.7" right="0.7" top="0.78740157499999996" bottom="0.78740157499999996"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DP93"/>
  <sheetViews>
    <sheetView showGridLines="0" tabSelected="1" zoomScale="80" zoomScaleNormal="80" workbookViewId="0">
      <selection activeCell="F20" sqref="F20"/>
    </sheetView>
  </sheetViews>
  <sheetFormatPr defaultColWidth="11" defaultRowHeight="14.25"/>
  <cols>
    <col min="1" max="1" width="31.875" customWidth="1"/>
    <col min="2" max="2" width="27.75" customWidth="1"/>
    <col min="3" max="3" width="17.625" customWidth="1"/>
    <col min="4" max="4" width="7.875" customWidth="1"/>
    <col min="5" max="19" width="20.625" customWidth="1"/>
    <col min="20" max="21" width="13.625" customWidth="1"/>
    <col min="22" max="22" width="59" customWidth="1"/>
    <col min="23" max="26" width="13.625" customWidth="1"/>
    <col min="27" max="27" width="17.75" customWidth="1"/>
    <col min="28" max="28" width="17.375" customWidth="1"/>
    <col min="29" max="29" width="17.25" customWidth="1"/>
    <col min="30" max="36" width="13.625" customWidth="1"/>
    <col min="37" max="37" width="38.75" customWidth="1"/>
    <col min="38" max="38" width="13.625" customWidth="1"/>
    <col min="39" max="46" width="13.625" hidden="1" customWidth="1"/>
    <col min="47" max="62" width="13.625" customWidth="1"/>
    <col min="63" max="64" width="11.375" customWidth="1"/>
    <col min="65" max="65" width="11" customWidth="1"/>
    <col min="66" max="67" width="11.375" customWidth="1"/>
    <col min="68" max="68" width="12.375" customWidth="1"/>
    <col min="69" max="70" width="11" customWidth="1"/>
    <col min="71" max="71" width="11.375" customWidth="1"/>
    <col min="72" max="75" width="11" customWidth="1"/>
    <col min="76" max="76" width="17" customWidth="1"/>
    <col min="77" max="79" width="11" customWidth="1"/>
    <col min="80" max="80" width="11.375" customWidth="1"/>
    <col min="81" max="82" width="11" customWidth="1"/>
    <col min="83" max="83" width="11.375" customWidth="1"/>
    <col min="84" max="85" width="11" customWidth="1"/>
    <col min="86" max="86" width="12.375" customWidth="1"/>
    <col min="87" max="89" width="11" customWidth="1"/>
    <col min="90" max="97" width="12.375" customWidth="1"/>
    <col min="98" max="98" width="11.375" customWidth="1"/>
    <col min="99" max="99" width="11" customWidth="1"/>
    <col min="100" max="103" width="11.375" customWidth="1"/>
    <col min="104" max="106" width="11" customWidth="1"/>
    <col min="107" max="107" width="13.875" customWidth="1"/>
    <col min="108" max="108" width="11" customWidth="1"/>
    <col min="109" max="109" width="13.625" customWidth="1"/>
    <col min="110" max="113" width="11" customWidth="1"/>
    <col min="114" max="114" width="19.75" customWidth="1"/>
    <col min="115" max="120" width="11" customWidth="1"/>
  </cols>
  <sheetData>
    <row r="2" spans="1:120" ht="15">
      <c r="A2" s="1" t="s">
        <v>37</v>
      </c>
      <c r="B2" s="3" t="s">
        <v>38</v>
      </c>
      <c r="C2" s="2"/>
      <c r="E2" s="12" t="s">
        <v>39</v>
      </c>
      <c r="F2" s="37" t="s">
        <v>1</v>
      </c>
      <c r="U2" s="12" t="s">
        <v>40</v>
      </c>
    </row>
    <row r="3" spans="1:120" ht="15">
      <c r="A3" s="1" t="s">
        <v>41</v>
      </c>
      <c r="B3" s="3" t="s">
        <v>42</v>
      </c>
      <c r="C3" s="2"/>
    </row>
    <row r="4" spans="1:120" ht="15.75" thickBot="1">
      <c r="A4" s="1" t="s">
        <v>43</v>
      </c>
      <c r="B4" s="3" t="s">
        <v>44</v>
      </c>
      <c r="C4" s="2"/>
    </row>
    <row r="5" spans="1:120" ht="30.75" customHeight="1">
      <c r="A5" s="1" t="s">
        <v>45</v>
      </c>
      <c r="B5" s="27" t="s">
        <v>46</v>
      </c>
      <c r="C5" s="2"/>
      <c r="E5" s="19" t="s">
        <v>47</v>
      </c>
      <c r="F5" s="20" t="s">
        <v>47</v>
      </c>
      <c r="G5" s="20" t="s">
        <v>47</v>
      </c>
      <c r="H5" s="21" t="s">
        <v>47</v>
      </c>
      <c r="I5" s="24" t="s">
        <v>48</v>
      </c>
      <c r="J5" s="24" t="s">
        <v>48</v>
      </c>
      <c r="K5" s="24" t="s">
        <v>48</v>
      </c>
      <c r="L5" s="24" t="s">
        <v>48</v>
      </c>
      <c r="M5" s="24" t="s">
        <v>48</v>
      </c>
      <c r="N5" s="24" t="s">
        <v>48</v>
      </c>
      <c r="O5" s="24" t="s">
        <v>48</v>
      </c>
      <c r="P5" s="24" t="s">
        <v>48</v>
      </c>
      <c r="Q5" s="24" t="s">
        <v>48</v>
      </c>
      <c r="R5" s="24" t="s">
        <v>48</v>
      </c>
      <c r="S5" s="25" t="s">
        <v>48</v>
      </c>
    </row>
    <row r="6" spans="1:120" ht="15" customHeight="1">
      <c r="A6" s="1" t="s">
        <v>49</v>
      </c>
      <c r="B6" s="3">
        <v>0.1</v>
      </c>
      <c r="C6" s="1" t="s">
        <v>50</v>
      </c>
      <c r="D6" s="12"/>
      <c r="E6" s="101" t="s">
        <v>51</v>
      </c>
      <c r="F6" s="102" t="s">
        <v>52</v>
      </c>
      <c r="G6" s="102" t="s">
        <v>53</v>
      </c>
      <c r="H6" s="103" t="s">
        <v>54</v>
      </c>
      <c r="I6" s="100" t="s">
        <v>55</v>
      </c>
      <c r="J6" s="100" t="s">
        <v>56</v>
      </c>
      <c r="K6" s="100" t="s">
        <v>57</v>
      </c>
      <c r="L6" s="100" t="s">
        <v>58</v>
      </c>
      <c r="M6" s="100" t="s">
        <v>59</v>
      </c>
      <c r="N6" s="100" t="s">
        <v>60</v>
      </c>
      <c r="O6" s="100" t="s">
        <v>61</v>
      </c>
      <c r="P6" s="100" t="s">
        <v>62</v>
      </c>
      <c r="Q6" s="100" t="s">
        <v>63</v>
      </c>
      <c r="R6" s="100" t="s">
        <v>64</v>
      </c>
      <c r="S6" s="133" t="s">
        <v>65</v>
      </c>
    </row>
    <row r="7" spans="1:120" ht="15.75" thickBot="1">
      <c r="A7" s="1" t="s">
        <v>66</v>
      </c>
      <c r="B7" s="3">
        <f>VLOOKUP(EQUIP,V66:W79,2,0)</f>
        <v>1</v>
      </c>
      <c r="C7" s="1" t="s">
        <v>67</v>
      </c>
      <c r="D7" s="12"/>
      <c r="E7" s="101"/>
      <c r="F7" s="102"/>
      <c r="G7" s="102"/>
      <c r="H7" s="103"/>
      <c r="I7" s="100"/>
      <c r="J7" s="100"/>
      <c r="K7" s="100"/>
      <c r="L7" s="100"/>
      <c r="M7" s="100"/>
      <c r="N7" s="100"/>
      <c r="O7" s="100"/>
      <c r="P7" s="100"/>
      <c r="Q7" s="100"/>
      <c r="R7" s="100"/>
      <c r="S7" s="133"/>
      <c r="T7" s="12"/>
      <c r="U7" s="12"/>
    </row>
    <row r="8" spans="1:120" ht="28.5" customHeight="1" thickBot="1">
      <c r="A8" s="1" t="s">
        <v>68</v>
      </c>
      <c r="B8" s="5">
        <v>0.06</v>
      </c>
      <c r="C8" s="1" t="s">
        <v>69</v>
      </c>
      <c r="D8" s="12"/>
      <c r="E8" s="101"/>
      <c r="F8" s="102"/>
      <c r="G8" s="102"/>
      <c r="H8" s="103"/>
      <c r="I8" s="100"/>
      <c r="J8" s="100"/>
      <c r="K8" s="100"/>
      <c r="L8" s="100"/>
      <c r="M8" s="100"/>
      <c r="N8" s="100"/>
      <c r="O8" s="100"/>
      <c r="P8" s="100"/>
      <c r="Q8" s="100"/>
      <c r="R8" s="100"/>
      <c r="S8" s="133"/>
      <c r="T8" s="12"/>
      <c r="U8" s="12"/>
      <c r="BK8" s="130" t="s">
        <v>70</v>
      </c>
      <c r="BL8" s="131"/>
      <c r="BM8" s="131"/>
      <c r="BN8" s="131"/>
      <c r="BO8" s="131"/>
      <c r="BP8" s="131"/>
      <c r="BQ8" s="131"/>
      <c r="BR8" s="132"/>
      <c r="DA8" s="134"/>
      <c r="DB8" s="134"/>
      <c r="DC8" s="134"/>
      <c r="DD8" s="134"/>
      <c r="DE8" s="134"/>
      <c r="DF8" s="134"/>
      <c r="DG8" s="134"/>
      <c r="DH8" s="134"/>
    </row>
    <row r="9" spans="1:120" ht="15">
      <c r="A9" s="1" t="s">
        <v>71</v>
      </c>
      <c r="B9" s="5">
        <v>0.3</v>
      </c>
      <c r="C9" s="1" t="s">
        <v>69</v>
      </c>
      <c r="D9" s="12"/>
      <c r="E9" s="101"/>
      <c r="F9" s="102"/>
      <c r="G9" s="102"/>
      <c r="H9" s="103"/>
      <c r="I9" s="100"/>
      <c r="J9" s="100"/>
      <c r="K9" s="100"/>
      <c r="L9" s="100"/>
      <c r="M9" s="100"/>
      <c r="N9" s="100"/>
      <c r="O9" s="100"/>
      <c r="P9" s="100"/>
      <c r="Q9" s="100"/>
      <c r="R9" s="100"/>
      <c r="S9" s="133"/>
      <c r="T9" s="12"/>
      <c r="U9" s="12"/>
      <c r="DA9" s="134"/>
      <c r="DB9" s="134"/>
      <c r="DC9" s="134"/>
      <c r="DD9" s="134"/>
      <c r="DE9" s="134"/>
      <c r="DF9" s="134"/>
      <c r="DG9" s="134"/>
      <c r="DH9" s="134"/>
    </row>
    <row r="10" spans="1:120" ht="15">
      <c r="A10" s="1" t="s">
        <v>72</v>
      </c>
      <c r="B10" s="3">
        <v>60</v>
      </c>
      <c r="C10" s="1" t="s">
        <v>73</v>
      </c>
      <c r="D10" s="12"/>
      <c r="E10" s="101"/>
      <c r="F10" s="102"/>
      <c r="G10" s="102"/>
      <c r="H10" s="103"/>
      <c r="I10" s="100"/>
      <c r="J10" s="100"/>
      <c r="K10" s="100"/>
      <c r="L10" s="100"/>
      <c r="M10" s="100"/>
      <c r="N10" s="100"/>
      <c r="O10" s="100"/>
      <c r="P10" s="100"/>
      <c r="Q10" s="100"/>
      <c r="R10" s="100"/>
      <c r="S10" s="133"/>
      <c r="T10" s="12"/>
      <c r="U10" s="12"/>
      <c r="BK10" s="113" t="s">
        <v>74</v>
      </c>
      <c r="BL10" s="114"/>
      <c r="BM10" s="114"/>
      <c r="BN10" s="114"/>
      <c r="BO10" s="114"/>
      <c r="BP10" s="114"/>
      <c r="BQ10" s="114"/>
      <c r="BR10" s="114"/>
      <c r="BS10" s="114"/>
      <c r="BT10" s="114"/>
      <c r="BU10" s="114"/>
      <c r="BV10" s="114"/>
      <c r="BW10" s="114"/>
      <c r="BX10" s="114"/>
      <c r="BY10" s="114"/>
      <c r="BZ10" s="4"/>
      <c r="CA10" s="4"/>
      <c r="CB10" s="137" t="s">
        <v>75</v>
      </c>
      <c r="CC10" s="137"/>
      <c r="CD10" s="137"/>
      <c r="CE10" s="137"/>
      <c r="CF10" s="137"/>
      <c r="CG10" s="137"/>
      <c r="CH10" s="137"/>
      <c r="CI10" s="137"/>
      <c r="CJ10" s="137"/>
      <c r="CK10" s="137"/>
      <c r="CL10" s="137"/>
      <c r="CM10" s="137"/>
      <c r="CN10" s="137"/>
      <c r="CO10" s="137"/>
      <c r="CP10" s="137"/>
      <c r="CQ10" s="137"/>
      <c r="CR10" s="137"/>
      <c r="CS10" s="137"/>
      <c r="CT10" s="137"/>
      <c r="CU10" s="137"/>
      <c r="CV10" s="137"/>
      <c r="CW10" s="137"/>
      <c r="CX10" s="137"/>
      <c r="CY10" s="137"/>
      <c r="CZ10" s="137"/>
      <c r="DA10" s="137"/>
      <c r="DB10" s="137"/>
      <c r="DC10" s="137"/>
      <c r="DD10" s="137"/>
      <c r="DE10" s="137"/>
      <c r="DF10" s="137"/>
      <c r="DG10" s="137"/>
      <c r="DH10" s="137"/>
      <c r="DI10" s="137"/>
      <c r="DJ10" s="137"/>
      <c r="DK10" s="137"/>
      <c r="DL10" s="137"/>
      <c r="DM10" s="137"/>
      <c r="DN10" s="137"/>
      <c r="DO10" s="137"/>
      <c r="DP10" s="137"/>
    </row>
    <row r="11" spans="1:120" ht="15">
      <c r="A11" s="1" t="s">
        <v>76</v>
      </c>
      <c r="B11" s="3">
        <v>0.1</v>
      </c>
      <c r="C11" s="1" t="s">
        <v>77</v>
      </c>
      <c r="D11" s="12"/>
      <c r="E11" s="101"/>
      <c r="F11" s="102"/>
      <c r="G11" s="102"/>
      <c r="H11" s="103"/>
      <c r="I11" s="100"/>
      <c r="J11" s="100"/>
      <c r="K11" s="100"/>
      <c r="L11" s="100"/>
      <c r="M11" s="100"/>
      <c r="N11" s="100"/>
      <c r="O11" s="100"/>
      <c r="P11" s="100"/>
      <c r="Q11" s="100"/>
      <c r="R11" s="100"/>
      <c r="S11" s="133"/>
      <c r="T11" s="12"/>
      <c r="U11" s="12"/>
      <c r="BK11" s="136" t="s">
        <v>78</v>
      </c>
      <c r="BL11" s="136"/>
      <c r="BM11" s="136"/>
      <c r="BN11" s="136"/>
      <c r="BO11" s="136"/>
      <c r="BP11" s="136"/>
      <c r="BQ11" s="135" t="s">
        <v>79</v>
      </c>
      <c r="BR11" s="135"/>
      <c r="BS11" s="135"/>
      <c r="BT11" s="135"/>
      <c r="BU11" s="135"/>
      <c r="BV11" s="135"/>
      <c r="BW11" s="115" t="s">
        <v>80</v>
      </c>
      <c r="BX11" s="116"/>
      <c r="BY11" s="117"/>
      <c r="BZ11" s="46"/>
      <c r="CA11" s="46"/>
      <c r="CB11" s="104" t="s">
        <v>81</v>
      </c>
      <c r="CC11" s="105"/>
      <c r="CD11" s="105"/>
      <c r="CE11" s="105"/>
      <c r="CF11" s="105"/>
      <c r="CG11" s="106"/>
      <c r="CH11" s="118" t="s">
        <v>82</v>
      </c>
      <c r="CI11" s="119"/>
      <c r="CJ11" s="119"/>
      <c r="CK11" s="119"/>
      <c r="CL11" s="119"/>
      <c r="CM11" s="120"/>
      <c r="CN11" s="115" t="s">
        <v>83</v>
      </c>
      <c r="CO11" s="116"/>
      <c r="CP11" s="116"/>
      <c r="CQ11" s="116"/>
      <c r="CR11" s="116"/>
      <c r="CS11" s="117"/>
      <c r="CT11" s="121" t="s">
        <v>84</v>
      </c>
      <c r="CU11" s="122"/>
      <c r="CV11" s="122"/>
      <c r="CW11" s="123"/>
      <c r="CX11" s="118" t="s">
        <v>85</v>
      </c>
      <c r="CY11" s="119"/>
      <c r="CZ11" s="119"/>
      <c r="DA11" s="120"/>
      <c r="DB11" s="115" t="s">
        <v>86</v>
      </c>
      <c r="DC11" s="116"/>
      <c r="DD11" s="116"/>
      <c r="DE11" s="116"/>
      <c r="DF11" s="116"/>
      <c r="DG11" s="117"/>
      <c r="DH11" s="104" t="s">
        <v>87</v>
      </c>
      <c r="DI11" s="105"/>
      <c r="DJ11" s="106"/>
      <c r="DK11" s="107" t="s">
        <v>88</v>
      </c>
      <c r="DL11" s="108"/>
      <c r="DM11" s="109"/>
      <c r="DN11" s="110" t="s">
        <v>89</v>
      </c>
      <c r="DO11" s="111"/>
      <c r="DP11" s="112"/>
    </row>
    <row r="12" spans="1:120" ht="15">
      <c r="A12" s="13" t="s">
        <v>90</v>
      </c>
      <c r="B12" s="3" t="s">
        <v>91</v>
      </c>
      <c r="C12" s="2"/>
      <c r="E12" s="101"/>
      <c r="F12" s="102"/>
      <c r="G12" s="102"/>
      <c r="H12" s="103"/>
      <c r="I12" s="100"/>
      <c r="J12" s="100"/>
      <c r="K12" s="100"/>
      <c r="L12" s="100"/>
      <c r="M12" s="100"/>
      <c r="N12" s="100"/>
      <c r="O12" s="100"/>
      <c r="P12" s="100"/>
      <c r="Q12" s="100"/>
      <c r="R12" s="100"/>
      <c r="S12" s="133"/>
      <c r="T12" s="12"/>
      <c r="U12" s="12"/>
      <c r="BK12" s="45" t="s">
        <v>92</v>
      </c>
      <c r="BL12" s="45" t="s">
        <v>93</v>
      </c>
      <c r="BM12" s="45" t="s">
        <v>94</v>
      </c>
      <c r="BN12" s="45" t="s">
        <v>95</v>
      </c>
      <c r="BO12" s="45" t="s">
        <v>96</v>
      </c>
      <c r="BP12" s="45" t="s">
        <v>97</v>
      </c>
      <c r="BQ12" s="45" t="s">
        <v>92</v>
      </c>
      <c r="BR12" s="45" t="s">
        <v>93</v>
      </c>
      <c r="BS12" s="45" t="s">
        <v>94</v>
      </c>
      <c r="BT12" s="45" t="s">
        <v>95</v>
      </c>
      <c r="BU12" s="45" t="s">
        <v>96</v>
      </c>
      <c r="BV12" s="45" t="s">
        <v>97</v>
      </c>
      <c r="BW12" s="45" t="s">
        <v>98</v>
      </c>
      <c r="BX12" s="45" t="s">
        <v>99</v>
      </c>
      <c r="BY12" s="45" t="s">
        <v>100</v>
      </c>
      <c r="BZ12" s="45"/>
      <c r="CA12" s="45"/>
      <c r="CB12" s="45" t="s">
        <v>92</v>
      </c>
      <c r="CC12" s="45" t="s">
        <v>93</v>
      </c>
      <c r="CD12" s="45" t="s">
        <v>94</v>
      </c>
      <c r="CE12" s="45" t="s">
        <v>95</v>
      </c>
      <c r="CF12" s="45" t="s">
        <v>96</v>
      </c>
      <c r="CG12" s="45" t="s">
        <v>97</v>
      </c>
      <c r="CH12" s="45" t="s">
        <v>92</v>
      </c>
      <c r="CI12" s="45" t="s">
        <v>93</v>
      </c>
      <c r="CJ12" s="45" t="s">
        <v>94</v>
      </c>
      <c r="CK12" s="45" t="s">
        <v>95</v>
      </c>
      <c r="CL12" s="45" t="s">
        <v>96</v>
      </c>
      <c r="CM12" s="45" t="s">
        <v>97</v>
      </c>
      <c r="CN12" s="45" t="s">
        <v>92</v>
      </c>
      <c r="CO12" s="45" t="s">
        <v>93</v>
      </c>
      <c r="CP12" s="45" t="s">
        <v>94</v>
      </c>
      <c r="CQ12" s="45" t="s">
        <v>95</v>
      </c>
      <c r="CR12" s="45" t="s">
        <v>96</v>
      </c>
      <c r="CS12" s="45" t="s">
        <v>97</v>
      </c>
      <c r="CT12" s="45" t="s">
        <v>101</v>
      </c>
      <c r="CU12" s="45" t="s">
        <v>102</v>
      </c>
      <c r="CV12" s="45" t="s">
        <v>103</v>
      </c>
      <c r="CW12" s="45" t="s">
        <v>100</v>
      </c>
      <c r="CX12" s="45" t="s">
        <v>101</v>
      </c>
      <c r="CY12" s="45" t="s">
        <v>102</v>
      </c>
      <c r="CZ12" s="45" t="s">
        <v>103</v>
      </c>
      <c r="DA12" s="45" t="s">
        <v>100</v>
      </c>
      <c r="DB12" s="45" t="s">
        <v>104</v>
      </c>
      <c r="DC12" s="45" t="s">
        <v>105</v>
      </c>
      <c r="DD12" s="45" t="s">
        <v>106</v>
      </c>
      <c r="DE12" s="45" t="s">
        <v>107</v>
      </c>
      <c r="DF12" s="45" t="s">
        <v>96</v>
      </c>
      <c r="DG12" s="45" t="s">
        <v>97</v>
      </c>
      <c r="DH12" s="45" t="s">
        <v>98</v>
      </c>
      <c r="DI12" s="45" t="s">
        <v>108</v>
      </c>
      <c r="DJ12" s="45" t="s">
        <v>97</v>
      </c>
      <c r="DK12" s="45" t="s">
        <v>98</v>
      </c>
      <c r="DL12" s="45" t="s">
        <v>108</v>
      </c>
      <c r="DM12" s="45" t="s">
        <v>97</v>
      </c>
      <c r="DN12" s="45" t="s">
        <v>98</v>
      </c>
      <c r="DO12" s="45" t="s">
        <v>108</v>
      </c>
      <c r="DP12" s="45" t="s">
        <v>97</v>
      </c>
    </row>
    <row r="13" spans="1:120" ht="15">
      <c r="A13" s="13" t="s">
        <v>109</v>
      </c>
      <c r="B13" s="3" t="s">
        <v>91</v>
      </c>
      <c r="C13" s="2"/>
      <c r="E13" s="22"/>
      <c r="F13" s="10"/>
      <c r="G13" s="10"/>
      <c r="H13" s="23"/>
      <c r="I13" s="18"/>
      <c r="J13" s="18"/>
      <c r="K13" s="18"/>
      <c r="L13" s="18"/>
      <c r="M13" s="18"/>
      <c r="N13" s="18"/>
      <c r="O13" s="18"/>
      <c r="P13" s="18"/>
      <c r="Q13" s="18"/>
      <c r="R13" s="18"/>
      <c r="S13" s="26"/>
      <c r="BK13" s="127" t="s">
        <v>110</v>
      </c>
      <c r="BL13" s="128"/>
      <c r="BM13" s="128"/>
      <c r="BN13" s="128"/>
      <c r="BO13" s="128"/>
      <c r="BP13" s="129"/>
      <c r="BQ13" s="127" t="s">
        <v>110</v>
      </c>
      <c r="BR13" s="128"/>
      <c r="BS13" s="128"/>
      <c r="BT13" s="128"/>
      <c r="BU13" s="128"/>
      <c r="BV13" s="129"/>
      <c r="BW13" s="127" t="s">
        <v>110</v>
      </c>
      <c r="BX13" s="128"/>
      <c r="BY13" s="129"/>
      <c r="BZ13" s="45"/>
      <c r="CA13" s="45"/>
      <c r="CB13" s="127" t="s">
        <v>110</v>
      </c>
      <c r="CC13" s="128"/>
      <c r="CD13" s="128"/>
      <c r="CE13" s="128"/>
      <c r="CF13" s="128"/>
      <c r="CG13" s="129"/>
      <c r="CH13" s="127" t="s">
        <v>110</v>
      </c>
      <c r="CI13" s="128"/>
      <c r="CJ13" s="128"/>
      <c r="CK13" s="128"/>
      <c r="CL13" s="128"/>
      <c r="CM13" s="129"/>
      <c r="CN13" s="127" t="s">
        <v>110</v>
      </c>
      <c r="CO13" s="128"/>
      <c r="CP13" s="128"/>
      <c r="CQ13" s="128"/>
      <c r="CR13" s="128"/>
      <c r="CS13" s="129"/>
      <c r="CT13" s="127" t="s">
        <v>110</v>
      </c>
      <c r="CU13" s="128"/>
      <c r="CV13" s="128"/>
      <c r="CW13" s="129"/>
      <c r="CX13" s="127" t="s">
        <v>110</v>
      </c>
      <c r="CY13" s="128"/>
      <c r="CZ13" s="128"/>
      <c r="DA13" s="129"/>
      <c r="DB13" s="127" t="s">
        <v>110</v>
      </c>
      <c r="DC13" s="128"/>
      <c r="DD13" s="128"/>
      <c r="DE13" s="128"/>
      <c r="DF13" s="128"/>
      <c r="DG13" s="129"/>
      <c r="DH13" s="127" t="s">
        <v>110</v>
      </c>
      <c r="DI13" s="128"/>
      <c r="DJ13" s="129"/>
      <c r="DK13" s="127" t="s">
        <v>110</v>
      </c>
      <c r="DL13" s="128"/>
      <c r="DM13" s="129"/>
      <c r="DN13" s="127" t="s">
        <v>110</v>
      </c>
      <c r="DO13" s="128"/>
      <c r="DP13" s="129"/>
    </row>
    <row r="14" spans="1:120" ht="15" thickBot="1">
      <c r="E14" s="22"/>
      <c r="F14" s="10"/>
      <c r="G14" s="10"/>
      <c r="H14" s="23"/>
      <c r="I14" s="18"/>
      <c r="J14" s="18"/>
      <c r="K14" s="18"/>
      <c r="L14" s="18"/>
      <c r="M14" s="18"/>
      <c r="N14" s="18"/>
      <c r="O14" s="18"/>
      <c r="P14" s="18"/>
      <c r="Q14" s="18"/>
      <c r="R14" s="18"/>
      <c r="S14" s="26"/>
      <c r="BK14" s="47">
        <f>10^(0.76983*LOG(AR*AREA) + IF(FT="Liquid",0.56878,0)+IF(FT="WP",1.26553,0)+3.11758 )</f>
        <v>825.14448247172561</v>
      </c>
      <c r="BL14" s="48">
        <f>10^(0.65088*LOG(AR*AREA) + IF(FT="Liquid",0.31856,0)+IF(FT="WP",1.73654,0)+1.21838 )</f>
        <v>7.692367069242624</v>
      </c>
      <c r="BM14" s="47">
        <f>10^(0.70293*LOG(AR*AREA) +IF(FT="Liquid",0.46064,0)+IF(FT="WP",1.82643,0) +3.09169 )</f>
        <v>706.96839644940223</v>
      </c>
      <c r="BN14" s="48">
        <f>10^(0.88637*LOG(AR*AREA) +IF(FT="Liquid",0.10658,0)+IF(FT="WP",1.76,0) +1.26941 )</f>
        <v>3.0875926612101749</v>
      </c>
      <c r="BO14" s="47">
        <f>10^(LOG(AR*AREA) + IF(FT="Liquid",0.90256,0)+IF(FT="WP",1.2835,0)+1.794-0.98175 )</f>
        <v>5.1857311813568439</v>
      </c>
      <c r="BP14" s="47">
        <f>10^(0.3*LOG(AR*AREA)+ IF(FT="Liquid", -1.00379,0)+IF(FT="WP",1.76453,0)+1.572192976)</f>
        <v>1.8552522886094869</v>
      </c>
      <c r="BQ14" s="45">
        <f>IF(AR*AREA&lt;1.5,9495,9495*AR*AREA/1.5)</f>
        <v>9495</v>
      </c>
      <c r="BR14" s="45">
        <f>IF(AR*AREA&lt;1.5,18,18*AR*AREA/1.5)</f>
        <v>18</v>
      </c>
      <c r="BS14" s="47">
        <f>IF(AR*AREA&lt;1.5,803,803*AR*AREA/1.5)</f>
        <v>803</v>
      </c>
      <c r="BT14" s="47">
        <f>IF(AR*AREA&lt;1.5,25,25*AR*AREA/1.5)</f>
        <v>25</v>
      </c>
      <c r="BU14" s="47">
        <f>IF(AR*AREA&lt;1.5,5,5*AR*AREA/1.5)</f>
        <v>5</v>
      </c>
      <c r="BV14" s="47">
        <f>IF(FT="WP",800*AR*AREA,IF(AR*AREA&lt;1.5,25,25*AR*AREA/1.5))</f>
        <v>25</v>
      </c>
      <c r="BW14" s="47">
        <f>18.45*AR*AREA</f>
        <v>1.845</v>
      </c>
      <c r="BX14" s="47">
        <f>AR*AREA*15.16</f>
        <v>1.516</v>
      </c>
      <c r="BY14" s="49">
        <f>AR*AREA*3.75</f>
        <v>0.375</v>
      </c>
      <c r="BZ14" s="47"/>
      <c r="CA14" s="47"/>
      <c r="CB14" s="47">
        <f>10^(LOG(AR*AREA)-1.03839297562239+2.83608+0.373522588964432)</f>
        <v>14.83233798996738</v>
      </c>
      <c r="CC14" s="48">
        <f>10^(0.54304*LOG(AR*AREA) +0.289734935628207 +0.23001 + 1.107)</f>
        <v>12.12564740932463</v>
      </c>
      <c r="CD14" s="47">
        <f>10^(LOG(AR*AREA)-1.42824+2.53847+0.808496672384271)</f>
        <v>8.2932865687283925</v>
      </c>
      <c r="CE14" s="47">
        <f>10^(LOG(AR*AREA)-1.08709593975481+0.74213+0.70194411780254)</f>
        <v>0.22749831170464135</v>
      </c>
      <c r="CF14" s="47">
        <f>10^(LOG(AR*AREA)-0.530941428847528+0.24206+0.882132282618956)</f>
        <v>0.39196821733961235</v>
      </c>
      <c r="CG14" s="47">
        <f>10^(0.501*LOG(AR*AREA)-0.710384881604937+0.71891+0.00666626239682423)</f>
        <v>0.32673178152952609</v>
      </c>
      <c r="CH14" s="47">
        <f>10^(0.88677*LOG(AR*AREA)+3.12106+0.28092)</f>
        <v>327.49901641229326</v>
      </c>
      <c r="CI14" s="47">
        <f>10^(LOG(AR*AREA)+1.54636)</f>
        <v>3.518519805635103</v>
      </c>
      <c r="CJ14" s="47">
        <f>10^(LOG(AR*AREA)+3.46785+0.47721)</f>
        <v>881.17060281668932</v>
      </c>
      <c r="CK14" s="47">
        <f>10^(LOG(AR*AREA)+1.83254+0.22803)</f>
        <v>11.496615320323309</v>
      </c>
      <c r="CL14" s="47">
        <f>10^(LOG(AR*AREA)+1.17485+1.88886)</f>
        <v>115.80038412357867</v>
      </c>
      <c r="CM14" s="47">
        <f>10^(0.56515*LOG(AR*AREA)+0.98981+0.81505)</f>
        <v>17.36640800154807</v>
      </c>
      <c r="CN14" s="47">
        <f>10^(0.88677*LOG(AR*AREA)+3.12106)</f>
        <v>171.51021841498152</v>
      </c>
      <c r="CO14" s="47">
        <f>10^(LOG(AR*AREA)+1.54636)</f>
        <v>3.518519805635103</v>
      </c>
      <c r="CP14" s="47">
        <f>10^(LOG(AR*AREA)+3.46785)</f>
        <v>293.66351989168948</v>
      </c>
      <c r="CQ14" s="47">
        <f>10^(LOG(AR*AREA)+1.83254)</f>
        <v>6.8004867691681117</v>
      </c>
      <c r="CR14" s="47">
        <f>10^(LOG(AR*AREA)+1.17485)</f>
        <v>1.4957189638415613</v>
      </c>
      <c r="CS14" s="47">
        <f>10^(0.56515*LOG(AR*AREA)+0.98981)</f>
        <v>2.6586428493723506</v>
      </c>
      <c r="CT14" s="47">
        <f>10^(0.78*LOG(AR*AREA)-0.34557+5.54894)</f>
        <v>26507.575069269969</v>
      </c>
      <c r="CU14" s="47">
        <f>10^(0.63602*LOG(AR*AREA)-0.50321+4.53934)</f>
        <v>2512.5227336366443</v>
      </c>
      <c r="CV14" s="47">
        <f>10^(0.42129*LOG(AR*AREA)+3.54578)</f>
        <v>1331.9563725311866</v>
      </c>
      <c r="CW14" s="47">
        <f>10^(0.80252*LOG(AR*AREA)-0.5792+2.53864)</f>
        <v>14.352250307811493</v>
      </c>
      <c r="CX14" s="47">
        <f>10^(0.78*LOG(AR*AREA)-0.34557+5.54894)+IF((AR*AREA)&lt;0.12,19785,((AR*AREA)/0.12)*19785)</f>
        <v>46292.575069269966</v>
      </c>
      <c r="CY14" s="47">
        <f>10^(0.63602*LOG(AR*AREA)-0.50321+4.53934)+IF((AR*AREA)&lt;0.12,4727,((AR*AREA)/0.12)*4727)</f>
        <v>7239.5227336366443</v>
      </c>
      <c r="CZ14" s="47">
        <f>10^(0.42129*LOG(AR*AREA)+3.54578)+IF((AR*AREA)&lt;0.12,4727,((AR*AREA)/0.12)*4727)</f>
        <v>6058.9563725311864</v>
      </c>
      <c r="DA14" s="47">
        <f>10^(0.80252*LOG(AR*AREA)-0.5792+2.53864)</f>
        <v>14.352250307811493</v>
      </c>
      <c r="DB14" s="47">
        <f>17666*AR*AREA</f>
        <v>1766.6000000000001</v>
      </c>
      <c r="DC14" s="47">
        <f>357*AR*AREA</f>
        <v>35.700000000000003</v>
      </c>
      <c r="DD14" s="47">
        <f>585403*AR*AREA</f>
        <v>58540.3</v>
      </c>
      <c r="DE14" s="47">
        <f>49869*AR*AREA</f>
        <v>4986.9000000000005</v>
      </c>
      <c r="DF14" s="47">
        <f>1363*AR*AREA</f>
        <v>136.30000000000001</v>
      </c>
      <c r="DG14" s="47">
        <f>186*AR*AREA</f>
        <v>18.600000000000001</v>
      </c>
      <c r="DH14" s="45">
        <f>21.9*AR*AREA</f>
        <v>2.19</v>
      </c>
      <c r="DI14" s="45">
        <f>15.87*AR*AREA</f>
        <v>1.587</v>
      </c>
      <c r="DJ14" s="45">
        <f>2.65*AR*AREA</f>
        <v>0.26500000000000001</v>
      </c>
      <c r="DK14" s="47">
        <f>228773.69*AR*AREA</f>
        <v>22877.369000000002</v>
      </c>
      <c r="DL14" s="47">
        <f>157145.5*AR*AREA</f>
        <v>15714.550000000001</v>
      </c>
      <c r="DM14" s="47">
        <f>1036.17*AR*AREA</f>
        <v>103.61700000000002</v>
      </c>
      <c r="DN14" s="47">
        <f>4.59*AR*AREA</f>
        <v>0.45900000000000002</v>
      </c>
      <c r="DO14" s="47">
        <f>1.77*AR*AREA</f>
        <v>0.17700000000000002</v>
      </c>
      <c r="DP14" s="47">
        <f>0.011*AR*AREA</f>
        <v>1.1000000000000001E-3</v>
      </c>
    </row>
    <row r="15" spans="1:120" ht="15" thickBot="1">
      <c r="E15" s="22"/>
      <c r="F15" s="10"/>
      <c r="G15" s="10"/>
      <c r="H15" s="23"/>
      <c r="I15" s="18"/>
      <c r="J15" s="18"/>
      <c r="K15" s="18"/>
      <c r="L15" s="18"/>
      <c r="M15" s="18"/>
      <c r="N15" s="18"/>
      <c r="O15" s="18"/>
      <c r="P15" s="18"/>
      <c r="Q15" s="18"/>
      <c r="R15" s="18"/>
      <c r="S15" s="26"/>
      <c r="AK15" s="141" t="s">
        <v>111</v>
      </c>
      <c r="AL15" s="142"/>
      <c r="AM15" s="142"/>
      <c r="AN15" s="142"/>
      <c r="AO15" s="142"/>
      <c r="AP15" s="142"/>
      <c r="AQ15" s="142"/>
      <c r="AR15" s="142"/>
      <c r="AS15" s="142"/>
      <c r="AT15" s="142"/>
      <c r="AU15" s="142"/>
      <c r="AV15" s="142"/>
      <c r="AW15" s="142"/>
      <c r="AX15" s="142"/>
      <c r="AY15" s="142"/>
      <c r="AZ15" s="142"/>
      <c r="BA15" s="142"/>
      <c r="BB15" s="142"/>
      <c r="BC15" s="143"/>
    </row>
    <row r="16" spans="1:120" ht="14.25" customHeight="1">
      <c r="A16" s="12"/>
      <c r="E16" s="22"/>
      <c r="F16" s="10"/>
      <c r="G16" s="10"/>
      <c r="H16" s="23"/>
      <c r="I16" s="18"/>
      <c r="J16" s="18"/>
      <c r="K16" s="18"/>
      <c r="L16" s="18"/>
      <c r="M16" s="18"/>
      <c r="N16" s="18"/>
      <c r="O16" s="18"/>
      <c r="P16" s="18"/>
      <c r="Q16" s="18"/>
      <c r="R16" s="18"/>
      <c r="S16" s="26"/>
    </row>
    <row r="17" spans="3:79">
      <c r="E17" s="22"/>
      <c r="F17" s="10"/>
      <c r="G17" s="10"/>
      <c r="H17" s="23"/>
      <c r="I17" s="18"/>
      <c r="J17" s="18"/>
      <c r="K17" s="18"/>
      <c r="L17" s="18"/>
      <c r="M17" s="18"/>
      <c r="N17" s="18"/>
      <c r="O17" s="18"/>
      <c r="P17" s="18"/>
      <c r="Q17" s="18"/>
      <c r="R17" s="18"/>
      <c r="S17" s="26"/>
    </row>
    <row r="18" spans="3:79" ht="15" customHeight="1" thickBot="1">
      <c r="C18" s="14"/>
      <c r="D18" s="14"/>
      <c r="E18" s="33"/>
      <c r="F18" s="34"/>
      <c r="G18" s="34"/>
      <c r="H18" s="35"/>
      <c r="I18" s="18"/>
      <c r="J18" s="18"/>
      <c r="K18" s="18"/>
      <c r="L18" s="18"/>
      <c r="M18" s="18"/>
      <c r="N18" s="18"/>
      <c r="O18" s="18"/>
      <c r="P18" s="18"/>
      <c r="Q18" s="18"/>
      <c r="R18" s="18"/>
      <c r="S18" s="26"/>
      <c r="W18" s="134"/>
      <c r="X18" s="134"/>
      <c r="Y18" s="134"/>
      <c r="AL18" s="134" t="s">
        <v>112</v>
      </c>
      <c r="AM18" s="134"/>
      <c r="AN18" s="134"/>
      <c r="AO18" s="134"/>
      <c r="AP18" s="134"/>
      <c r="AQ18" s="134"/>
      <c r="AR18" s="134"/>
      <c r="AS18" s="134"/>
      <c r="AT18" s="134"/>
      <c r="AU18" s="134"/>
      <c r="AV18" s="134"/>
      <c r="AW18" s="134"/>
      <c r="AX18" s="134"/>
    </row>
    <row r="19" spans="3:79" ht="46.5" customHeight="1" thickBot="1">
      <c r="C19" s="98" t="s">
        <v>113</v>
      </c>
      <c r="D19" s="99"/>
      <c r="E19" s="32">
        <f>IF(AND($B$12="Yes",$B$13="Yes"),VLOOKUP(EQUIP,$AK$71:$BI$84,11,FALSE),IF(AND($B$12="Yes",$B$13="No"),VLOOKUP(EQUIP,$AK$38:$BI$51,11,FALSE), IF(AND($B$12="No", $B$13="Yes"),VLOOKUP(EQUIP,$AK$54:$BI$67,11,FALSE),VLOOKUP(EQUIP,$AK$21:$BI$34,11,FALSE))))/bodyweight</f>
        <v>2.2743484506646747E-2</v>
      </c>
      <c r="F19" s="31">
        <f>IF(AND($B$12="Yes",$B$13="Yes"),VLOOKUP(EQUIP,$AK$71:$BI$84,12,FALSE),IF(AND($B$12="Yes",$B$13="No"),VLOOKUP(EQUIP,$AK$38:$BI$51,12,FALSE), IF(AND($B$12="No", $B$13="Yes"),VLOOKUP(EQUIP,$AK$54:$BI$67,12,FALSE),VLOOKUP(EQUIP,$AK$21:$BI$34,12,FALSE))))/bodyweight</f>
        <v>1.3266484506646746E-2</v>
      </c>
      <c r="G19" s="32">
        <f>IF(AND($B$12="Yes",$B$13="Yes"),VLOOKUP(EQUIP,$AK$71:$BI$84,13,FALSE),IF(AND($B$12="Yes",$B$13="No"),VLOOKUP(EQUIP,$AK$38:$BI$51,13,FALSE), IF(AND($B$12="No", $B$13="Yes"),VLOOKUP(EQUIP,$AK$54:$BI$67,13,FALSE),VLOOKUP(EQUIP,$AK$21:$BI$34,13,FALSE))))/bodyweight</f>
        <v>1.6840652701119459E-2</v>
      </c>
      <c r="H19" s="32">
        <f>IF(AND($B$12="Yes",$B$13="Yes"),VLOOKUP(EQUIP,$AK$71:$BI$84,14,FALSE),IF(AND($B$12="Yes",$B$13="No"),VLOOKUP(EQUIP,$AK$38:$BI$51,14,FALSE), IF(AND($B$12="No", $B$13="Yes"),VLOOKUP(EQUIP,$AK$54:$BI$67,14,FALSE),VLOOKUP(EQUIP,$AK$21:$BI$34,14,FALSE))))/bodyweight</f>
        <v>7.3636527011194577E-3</v>
      </c>
      <c r="I19" s="32">
        <f>IF(AND($B$12="Yes",$B$13="Yes"),VLOOKUP(EQUIP,$AK$71:$BI$84,15,FALSE),IF(AND($B$12="Yes",$B$13="No"),VLOOKUP(EQUIP,$AK$38:$BI$51,15,FALSE), IF(AND($B$12="No", $B$13="Yes"),VLOOKUP(EQUIP,$AK$54:$BI$67,15,FALSE),VLOOKUP(EQUIP,$AK$21:$BI$34,15,FALSE))))/bodyweight</f>
        <v>1.3253984506646745E-2</v>
      </c>
      <c r="J19" s="32">
        <f>IF(AND($B$12="Yes",$B$13="Yes"),VLOOKUP(EQUIP,$AK$71:$BI$84,16,FALSE),IF(AND($B$12="Yes",$B$13="No"),VLOOKUP(EQUIP,$AK$38:$BI$51,16,FALSE), IF(AND($B$12="No", $B$13="Yes"),VLOOKUP(EQUIP,$AK$54:$BI$67,16,FALSE),VLOOKUP(EQUIP,$AK$21:$BI$34,16,FALSE))))/bodyweight</f>
        <v>1.3242734506646748E-2</v>
      </c>
      <c r="K19" s="32" t="e">
        <f>IF(AND($B$12="Yes",$B$13="Yes"),VLOOKUP(EQUIP,$AK$71:$BI$84,17,FALSE),IF(AND($B$12="Yes",$B$13="No"),VLOOKUP(EQUIP,$AK$38:$BI$51,17,FALSE), IF(AND($B$12="No", $B$13="Yes"),VLOOKUP(EQUIP,$AK$54:$BI$67,17,FALSE),VLOOKUP(EQUIP,$AK$21:$BI$34,17,FALSE))))/bodyweight</f>
        <v>#VALUE!</v>
      </c>
      <c r="L19" s="32">
        <f>IF(AND($B$12="Yes",$B$13="Yes"),VLOOKUP(EQUIP,$AK$71:$BI$84,18,FALSE),IF(AND($B$12="Yes",$B$13="No"),VLOOKUP(EQUIP,$AK$38:$BI$51,18,FALSE), IF(AND($B$12="No", $B$13="Yes"),VLOOKUP(EQUIP,$AK$54:$BI$67,18,FALSE),VLOOKUP(EQUIP,$AK$21:$BI$34,18,FALSE))))/bodyweight</f>
        <v>1.0513859931596321E-2</v>
      </c>
      <c r="M19" s="32">
        <f>IF(AND($B$12="Yes",$B$13="Yes"),VLOOKUP(EQUIP,$AK$71:$BI$84,19,FALSE),IF(AND($B$12="Yes",$B$13="No"),VLOOKUP(EQUIP,$AK$38:$BI$51,19,FALSE), IF(AND($B$12="No", $B$13="Yes"),VLOOKUP(EQUIP,$AK$54:$BI$67,19,FALSE),VLOOKUP(EQUIP,$AK$21:$BI$34,19,FALSE))))/bodyweight</f>
        <v>1.0368599315963216E-3</v>
      </c>
      <c r="N19" s="32">
        <f>IF(AND($B$12="Yes",$B$13="Yes"),VLOOKUP(EQUIP,$AK$71:$BI$84,20,FALSE),IF(AND($B$12="Yes",$B$13="No"),VLOOKUP(EQUIP,$AK$38:$BI$51,20,FALSE), IF(AND($B$12="No", $B$13="Yes"),VLOOKUP(EQUIP,$AK$54:$BI$67,20,FALSE),VLOOKUP(EQUIP,$AK$21:$BI$34,20,FALSE))))/bodyweight</f>
        <v>7.3511527011194582E-3</v>
      </c>
      <c r="O19" s="32">
        <f>IF(AND($B$12="Yes",$B$13="Yes"),VLOOKUP(EQUIP,$AK$71:$BI$84,21,FALSE),IF(AND($B$12="Yes",$B$13="No"),VLOOKUP(EQUIP,$AK$38:$BI$51,21,FALSE), IF(AND($B$12="No", $B$13="Yes"),VLOOKUP(EQUIP,$AK$54:$BI$67,21,FALSE),VLOOKUP(EQUIP,$AK$21:$BI$34,21,FALSE))))/bodyweight</f>
        <v>7.3399027011194582E-3</v>
      </c>
      <c r="P19" s="31" t="e">
        <f>IF(AND($B$12="Yes",$B$13="Yes"),VLOOKUP(EQUIP,$AK$71:$BI$84,22,FALSE),IF(AND($B$12="Yes",$B$13="No"),VLOOKUP(EQUIP,$AK$38:$BI$51,22,FALSE), IF(AND($B$12="No", $B$13="Yes"),VLOOKUP(EQUIP,$AK$54:$BI$67,22,FALSE),VLOOKUP(EQUIP,$AK$21:$BI$34,22,FALSE))))/bodyweight</f>
        <v>#VALUE!</v>
      </c>
      <c r="Q19" s="32">
        <f>IF(AND($B$12="Yes",$B$13="Yes"),VLOOKUP(EQUIP,$AK$71:$BI$84,23,FALSE),IF(AND($B$12="Yes",$B$13="No"),VLOOKUP(EQUIP,$AK$38:$BI$51,23,FALSE), IF(AND($B$12="No", $B$13="Yes"),VLOOKUP(EQUIP,$AK$54:$BI$67,23,FALSE),VLOOKUP(EQUIP,$AK$21:$BI$34,23,FALSE))))/bodyweight</f>
        <v>1.0243599315963214E-3</v>
      </c>
      <c r="R19" s="32">
        <f>IF(AND($B$12="Yes",$B$13="Yes"),VLOOKUP(EQUIP,$AK$71:$BI$84,24,FALSE),IF(AND($B$12="Yes",$B$13="No"),VLOOKUP(EQUIP,$AK$38:$BI$51,24,FALSE), IF(AND($B$12="No", $B$13="Yes"),VLOOKUP(EQUIP,$AK$54:$BI$67,24,FALSE),VLOOKUP(EQUIP,$AK$21:$BI$34,24,FALSE))))/bodyweight</f>
        <v>1.0131099315963215E-3</v>
      </c>
      <c r="S19" s="32" t="e">
        <f>IF(AND($B$12="Yes",$B$13="Yes"),VLOOKUP(EQUIP,$AK$71:$BI$84,25,FALSE),IF(AND($B$12="Yes",$B$13="No"),VLOOKUP(EQUIP,$AK$38:$BI$51,25,FALSE), IF(AND($B$12="No", $B$13="Yes"),VLOOKUP(EQUIP,$AK$54:$BI$67,25,FALSE),VLOOKUP(EQUIP,$AK$21:$BI$34,25,FALSE))))/bodyweight</f>
        <v>#VALUE!</v>
      </c>
      <c r="W19" s="138" t="s">
        <v>114</v>
      </c>
      <c r="X19" s="139"/>
      <c r="Y19" s="139"/>
      <c r="Z19" s="139"/>
      <c r="AA19" s="139"/>
      <c r="AB19" s="139"/>
      <c r="AC19" s="140"/>
      <c r="AK19" s="77" t="s">
        <v>115</v>
      </c>
      <c r="AL19" s="78"/>
      <c r="AM19" s="78"/>
      <c r="AN19" s="78"/>
      <c r="AO19" s="78"/>
      <c r="AP19" s="78"/>
      <c r="AQ19" s="78"/>
      <c r="AR19" s="78"/>
      <c r="AS19" s="78"/>
      <c r="AT19" s="78"/>
      <c r="AU19" s="78"/>
      <c r="AV19" s="78"/>
      <c r="AW19" s="78"/>
      <c r="AX19" s="78"/>
      <c r="AY19" s="79"/>
      <c r="AZ19" s="79"/>
      <c r="BA19" s="79"/>
      <c r="BB19" s="79"/>
      <c r="BC19" s="79"/>
      <c r="BD19" s="79"/>
      <c r="BE19" s="79"/>
      <c r="BF19" s="79"/>
      <c r="BG19" s="79"/>
      <c r="BH19" s="79"/>
      <c r="BI19" s="80"/>
    </row>
    <row r="20" spans="3:79" ht="95.25" customHeight="1" thickBot="1">
      <c r="C20" s="98" t="s">
        <v>116</v>
      </c>
      <c r="D20" s="99"/>
      <c r="E20" s="29">
        <f>IF(AND($B$12="Yes",$B$13="Yes"),VLOOKUP(EQUIP,$AK$71:$BI$84,11,FALSE),IF(AND($B$12="Yes",$B$13="No"),VLOOKUP(EQUIP,$AK$38:$BI$51,11,FALSE), IF(AND($B$12="No", $B$13="Yes"),VLOOKUP(EQUIP,$AK$54:$BI$67,11,FALSE),VLOOKUP(EQUIP,$AK$21:$BI$34,11,FALSE))))/bodyweight/AOEL</f>
        <v>0.22743484506646747</v>
      </c>
      <c r="F20" s="30">
        <f>IF(AND($B$12="Yes",$B$13="Yes"),VLOOKUP(EQUIP,$AK$71:$BI$84,12,FALSE),IF(AND($B$12="Yes",$B$13="No"),VLOOKUP(EQUIP,$AK$38:$BI$51,12,FALSE), IF(AND($B$12="No", $B$13="Yes"),VLOOKUP(EQUIP,$AK$54:$BI$67,12,FALSE),VLOOKUP(EQUIP,$AK$21:$BI$34,12,FALSE))))/bodyweight/AOEL</f>
        <v>0.13266484506646745</v>
      </c>
      <c r="G20" s="30">
        <f>IF(AND($B$12="Yes",$B$13="Yes"),VLOOKUP(EQUIP,$AK$71:$BI$84,13,FALSE),IF(AND($B$12="Yes",$B$13="No"),VLOOKUP(EQUIP,$AK$38:$BI$51,13,FALSE), IF(AND($B$12="No", $B$13="Yes"),VLOOKUP(EQUIP,$AK$54:$BI$67,13,FALSE),VLOOKUP(EQUIP,$AK$21:$BI$34,13,FALSE))))/bodyweight/AOEL</f>
        <v>0.16840652701119457</v>
      </c>
      <c r="H20" s="30">
        <f>IF(AND($B$12="Yes",$B$13="Yes"),VLOOKUP(EQUIP,$AK$71:$BI$84,14,FALSE),IF(AND($B$12="Yes",$B$13="No"),VLOOKUP(EQUIP,$AK$38:$BI$51,14,FALSE), IF(AND($B$12="No", $B$13="Yes"),VLOOKUP(EQUIP,$AK$54:$BI$67,14,FALSE),VLOOKUP(EQUIP,$AK$21:$BI$34,14,FALSE))))/bodyweight/AOEL</f>
        <v>7.3636527011194566E-2</v>
      </c>
      <c r="I20" s="29">
        <f>IF(AND($B$12="Yes",$B$13="Yes"),VLOOKUP(EQUIP,$AK$71:$BI$84,15,FALSE),IF(AND($B$12="Yes",$B$13="No"),VLOOKUP(EQUIP,$AK$38:$BI$51,15,FALSE), IF(AND($B$12="No", $B$13="Yes"),VLOOKUP(EQUIP,$AK$54:$BI$67,15,FALSE),VLOOKUP(EQUIP,$AK$21:$BI$34,15,FALSE))))/bodyweight/AOEL</f>
        <v>0.13253984506646743</v>
      </c>
      <c r="J20" s="30">
        <f>IF(AND($B$12="Yes",$B$13="Yes"),VLOOKUP(EQUIP,$AK$71:$BI$84,16,FALSE),IF(AND($B$12="Yes",$B$13="No"),VLOOKUP(EQUIP,$AK$38:$BI$51,16,FALSE), IF(AND($B$12="No", $B$13="Yes"),VLOOKUP(EQUIP,$AK$54:$BI$67,16,FALSE),VLOOKUP(EQUIP,$AK$21:$BI$34,16,FALSE))))/bodyweight/AOEL</f>
        <v>0.13242734506646747</v>
      </c>
      <c r="K20" s="30" t="e">
        <f>IF(AND($B$12="Yes",$B$13="Yes"),VLOOKUP(EQUIP,$AK$71:$BI$84,17,FALSE),IF(AND($B$12="Yes",$B$13="No"),VLOOKUP(EQUIP,$AK$38:$BI$51,17,FALSE), IF(AND($B$12="No", $B$13="Yes"),VLOOKUP(EQUIP,$AK$54:$BI$67,17,FALSE),VLOOKUP(EQUIP,$AK$21:$BI$34,17,FALSE))))/bodyweight/AOEL</f>
        <v>#VALUE!</v>
      </c>
      <c r="L20" s="30">
        <f>IF(AND($B$12="Yes",$B$13="Yes"),VLOOKUP(EQUIP,$AK$71:$BI$84,18,FALSE),IF(AND($B$12="Yes",$B$13="No"),VLOOKUP(EQUIP,$AK$38:$BI$51,18,FALSE), IF(AND($B$12="No", $B$13="Yes"),VLOOKUP(EQUIP,$AK$54:$BI$67,18,FALSE),VLOOKUP(EQUIP,$AK$21:$BI$34,18,FALSE))))/bodyweight/AOEL</f>
        <v>0.10513859931596321</v>
      </c>
      <c r="M20" s="30">
        <f>IF(AND($B$12="Yes",$B$13="Yes"),VLOOKUP(EQUIP,$AK$71:$BI$84,19,FALSE),IF(AND($B$12="Yes",$B$13="No"),VLOOKUP(EQUIP,$AK$38:$BI$51,19,FALSE), IF(AND($B$12="No", $B$13="Yes"),VLOOKUP(EQUIP,$AK$54:$BI$67,19,FALSE),VLOOKUP(EQUIP,$AK$21:$BI$34,19,FALSE))))/bodyweight/AOEL</f>
        <v>1.0368599315963215E-2</v>
      </c>
      <c r="N20" s="30">
        <f>IF(AND($B$12="Yes",$B$13="Yes"),VLOOKUP(EQUIP,$AK$71:$BI$84,20,FALSE),IF(AND($B$12="Yes",$B$13="No"),VLOOKUP(EQUIP,$AK$38:$BI$51,20,FALSE), IF(AND($B$12="No", $B$13="Yes"),VLOOKUP(EQUIP,$AK$54:$BI$67,20,FALSE),VLOOKUP(EQUIP,$AK$21:$BI$34,20,FALSE))))/bodyweight/AOEL</f>
        <v>7.351152701119458E-2</v>
      </c>
      <c r="O20" s="30">
        <f>IF(AND($B$12="Yes",$B$13="Yes"),VLOOKUP(EQUIP,$AK$71:$BI$84,21,FALSE),IF(AND($B$12="Yes",$B$13="No"),VLOOKUP(EQUIP,$AK$38:$BI$51,21,FALSE), IF(AND($B$12="No", $B$13="Yes"),VLOOKUP(EQUIP,$AK$54:$BI$67,21,FALSE),VLOOKUP(EQUIP,$AK$21:$BI$34,21,FALSE))))/bodyweight/AOEL</f>
        <v>7.3399027011194579E-2</v>
      </c>
      <c r="P20" s="17" t="e">
        <f>IF(AND($B$12="Yes",$B$13="Yes"),VLOOKUP(EQUIP,$AK$71:$BI$84,22,FALSE),IF(AND($B$12="Yes",$B$13="No"),VLOOKUP(EQUIP,$AK$38:$BI$51,22,FALSE), IF(AND($B$12="No", $B$13="Yes"),VLOOKUP(EQUIP,$AK$54:$BI$67,22,FALSE),VLOOKUP(EQUIP,$AK$21:$BI$34,22,FALSE))))/bodyweight/AOEL</f>
        <v>#VALUE!</v>
      </c>
      <c r="Q20" s="30">
        <f>IF(AND($B$12="Yes",$B$13="Yes"),VLOOKUP(EQUIP,$AK$71:$BI$84,23,FALSE),IF(AND($B$12="Yes",$B$13="No"),VLOOKUP(EQUIP,$AK$38:$BI$51,23,FALSE), IF(AND($B$12="No", $B$13="Yes"),VLOOKUP(EQUIP,$AK$54:$BI$67,23,FALSE),VLOOKUP(EQUIP,$AK$21:$BI$34,23,FALSE))))/bodyweight/AOEL</f>
        <v>1.0243599315963213E-2</v>
      </c>
      <c r="R20" s="30">
        <f>IF(AND($B$12="Yes",$B$13="Yes"),VLOOKUP(EQUIP,$AK$71:$BI$84,24,FALSE),IF(AND($B$12="Yes",$B$13="No"),VLOOKUP(EQUIP,$AK$38:$BI$51,24,FALSE), IF(AND($B$12="No", $B$13="Yes"),VLOOKUP(EQUIP,$AK$54:$BI$67,24,FALSE),VLOOKUP(EQUIP,$AK$21:$BI$34,24,FALSE))))/bodyweight/AOEL</f>
        <v>1.0131099315963213E-2</v>
      </c>
      <c r="S20" s="30" t="e">
        <f>IF(AND($B$12="Yes",$B$13="Yes"),VLOOKUP(EQUIP,$AK$71:$BI$84,25,FALSE),IF(AND($B$12="Yes",$B$13="No"),VLOOKUP(EQUIP,$AK$38:$BI$51,25,FALSE), IF(AND($B$12="No", $B$13="Yes"),VLOOKUP(EQUIP,$AK$54:$BI$67,25,FALSE),VLOOKUP(EQUIP,$AK$21:$BI$34,25,FALSE))))/bodyweight/AOEL</f>
        <v>#VALUE!</v>
      </c>
      <c r="T20" s="9"/>
      <c r="V20" s="45"/>
      <c r="W20" s="59" t="s">
        <v>117</v>
      </c>
      <c r="X20" s="59" t="s">
        <v>51</v>
      </c>
      <c r="Y20" s="59" t="s">
        <v>118</v>
      </c>
      <c r="Z20" s="59" t="s">
        <v>119</v>
      </c>
      <c r="AA20" s="59" t="s">
        <v>120</v>
      </c>
      <c r="AB20" s="59" t="s">
        <v>121</v>
      </c>
      <c r="AC20" s="59" t="s">
        <v>122</v>
      </c>
      <c r="AK20" s="81" t="s">
        <v>123</v>
      </c>
      <c r="AL20" s="53" t="s">
        <v>101</v>
      </c>
      <c r="AM20" s="53"/>
      <c r="AN20" s="53"/>
      <c r="AO20" s="53"/>
      <c r="AP20" s="53"/>
      <c r="AQ20" s="53"/>
      <c r="AR20" s="53"/>
      <c r="AS20" s="53"/>
      <c r="AT20" s="53"/>
      <c r="AU20" s="53" t="s">
        <v>124</v>
      </c>
      <c r="AV20" s="53" t="s">
        <v>125</v>
      </c>
      <c r="AW20" s="53" t="s">
        <v>126</v>
      </c>
      <c r="AX20" s="53" t="s">
        <v>127</v>
      </c>
      <c r="AY20" s="53" t="s">
        <v>128</v>
      </c>
      <c r="AZ20" s="53" t="s">
        <v>129</v>
      </c>
      <c r="BA20" s="53" t="s">
        <v>130</v>
      </c>
      <c r="BB20" s="53" t="s">
        <v>131</v>
      </c>
      <c r="BC20" s="53" t="s">
        <v>132</v>
      </c>
      <c r="BD20" s="53" t="s">
        <v>133</v>
      </c>
      <c r="BE20" s="53" t="s">
        <v>134</v>
      </c>
      <c r="BF20" s="53" t="s">
        <v>135</v>
      </c>
      <c r="BG20" s="53" t="s">
        <v>136</v>
      </c>
      <c r="BH20" s="53" t="s">
        <v>137</v>
      </c>
      <c r="BI20" s="82" t="s">
        <v>138</v>
      </c>
    </row>
    <row r="21" spans="3:79" ht="15.75" thickBot="1">
      <c r="C21" s="9"/>
      <c r="D21" s="9"/>
      <c r="E21" s="38"/>
      <c r="F21" s="38"/>
      <c r="G21" s="38"/>
      <c r="H21" s="38"/>
      <c r="I21" s="38"/>
      <c r="J21" s="38"/>
      <c r="K21" s="38"/>
      <c r="L21" s="38"/>
      <c r="M21" s="38"/>
      <c r="N21" s="38"/>
      <c r="O21" s="38"/>
      <c r="P21" s="38"/>
      <c r="Q21" s="38"/>
      <c r="R21" s="38"/>
      <c r="S21" s="38"/>
      <c r="T21" s="9"/>
      <c r="U21" s="9"/>
      <c r="V21" s="50" t="s">
        <v>139</v>
      </c>
      <c r="W21" s="47">
        <f>BK14+BM14+BO14</f>
        <v>1537.2986101024849</v>
      </c>
      <c r="X21" s="47">
        <f>BK14+BN14+BO14</f>
        <v>833.41780631429253</v>
      </c>
      <c r="Y21" s="47">
        <f>BL14+BN14+BO14</f>
        <v>15.965690911809642</v>
      </c>
      <c r="Z21" s="47">
        <f>BL14+BN14*0.5+BO14</f>
        <v>14.421894581204555</v>
      </c>
      <c r="AA21" s="47">
        <f>BL14+BN14*0.05+BO14</f>
        <v>13.032477883659976</v>
      </c>
      <c r="AB21" s="47">
        <f>IF(FT="Liquid",(BL14+BN14+BO14)*0.05, "NA")</f>
        <v>0.79828454559048212</v>
      </c>
      <c r="AC21" s="47"/>
      <c r="AD21" s="15"/>
      <c r="AE21" s="15"/>
      <c r="AF21" s="15"/>
      <c r="AG21" s="15"/>
      <c r="AH21" s="15"/>
      <c r="AI21" s="15"/>
      <c r="AK21" s="83" t="str">
        <f t="shared" ref="AK21:AK30" si="0">V66</f>
        <v>Tractor mounted boom sprayer</v>
      </c>
      <c r="AL21" s="60">
        <f>(W21*$B$8+W30*$B$9 + W22+W31)/1000</f>
        <v>0.10147517850909872</v>
      </c>
      <c r="AM21" s="60"/>
      <c r="AN21" s="60"/>
      <c r="AO21" s="60"/>
      <c r="AP21" s="60"/>
      <c r="AQ21" s="60"/>
      <c r="AR21" s="60"/>
      <c r="AS21" s="60"/>
      <c r="AT21" s="60"/>
      <c r="AU21" s="60">
        <f>(X21*$B$8+X30*$B$9 + X22+X31)/1000</f>
        <v>5.6822593804700047E-2</v>
      </c>
      <c r="AV21" s="60">
        <f>(Y21*$B$8+X30*$B$9 + Y22+X31)/1000</f>
        <v>7.7754668805510808E-3</v>
      </c>
      <c r="AW21" s="60">
        <f>(X21*$B$8+Y30*$B$9 + X22+Y31)/1000</f>
        <v>5.6010586630507224E-2</v>
      </c>
      <c r="AX21" s="60">
        <f>(Y21*$B$8+Y30*$B$9 + Y22+Y31)/1000</f>
        <v>6.9634597063582557E-3</v>
      </c>
      <c r="AY21" s="45">
        <f>(Z21*$B$8+X30*$B$9 + Z22+X31)/1000</f>
        <v>7.6828391007147754E-3</v>
      </c>
      <c r="AZ21" s="61">
        <f>(AA21*$B$8+X30*$B$9 + AA22+X31)/1000</f>
        <v>7.599474098862101E-3</v>
      </c>
      <c r="BA21" s="45">
        <f>(AB21*$B$8+X30*$B$9 + AB22+X31)/1000</f>
        <v>5.102932824398919E-3</v>
      </c>
      <c r="BB21" s="60">
        <f>(X21*$B$8+AC30*$B$9 + X22+AC31)/1000</f>
        <v>5.5886954379070458E-2</v>
      </c>
      <c r="BC21" s="60">
        <f>(Y21*$B$8+AC30*$B$9 + Y22+AC31)/1000</f>
        <v>6.8398274549214925E-3</v>
      </c>
      <c r="BD21" s="45">
        <f>(Z21*$B$8+Y30*$B$9 + Z22+Y31)/1000</f>
        <v>6.8708319265219503E-3</v>
      </c>
      <c r="BE21" s="45">
        <f>(AA21*$B$8+Y30*$B$9 + AA22+Y31)/1000</f>
        <v>6.7874669246692759E-3</v>
      </c>
      <c r="BF21" s="45">
        <f>(AB21*$B$8+Y30*$B$9 + AB22+Y31)/1000</f>
        <v>4.2909256502060948E-3</v>
      </c>
      <c r="BG21" s="60">
        <f>(Z21*$B$8+AC30*$B$9 + Z22+AC31)/1000</f>
        <v>6.7471996750851871E-3</v>
      </c>
      <c r="BH21" s="60">
        <f>(AA21*$B$8+AC30*$B$9 + AA22+AC31)/1000</f>
        <v>6.6638346732325118E-3</v>
      </c>
      <c r="BI21" s="69">
        <f>(AB21*$B$8+AC30*$B$9 + AB22+AC31)/1000</f>
        <v>4.1672933987693308E-3</v>
      </c>
    </row>
    <row r="22" spans="3:79" ht="60" customHeight="1" thickBot="1">
      <c r="C22" s="9"/>
      <c r="D22" s="9"/>
      <c r="E22" s="124" t="s">
        <v>140</v>
      </c>
      <c r="F22" s="125"/>
      <c r="G22" s="126"/>
      <c r="H22" s="14"/>
      <c r="I22" s="14"/>
      <c r="J22" s="14"/>
      <c r="K22" s="14"/>
      <c r="L22" s="14"/>
      <c r="M22" s="14"/>
      <c r="N22" s="14"/>
      <c r="O22" s="14"/>
      <c r="P22" s="14"/>
      <c r="Q22" s="14"/>
      <c r="R22" s="14"/>
      <c r="S22" s="14"/>
      <c r="T22" s="9"/>
      <c r="U22" s="9"/>
      <c r="V22" s="50" t="s">
        <v>141</v>
      </c>
      <c r="W22" s="47">
        <f>$BP$14</f>
        <v>1.8552522886094869</v>
      </c>
      <c r="X22" s="47">
        <f>$BP$14</f>
        <v>1.8552522886094869</v>
      </c>
      <c r="Y22" s="47">
        <f>$BP$14</f>
        <v>1.8552522886094869</v>
      </c>
      <c r="Z22" s="47">
        <f>$BP$14</f>
        <v>1.8552522886094869</v>
      </c>
      <c r="AA22" s="47">
        <f>$BP$14</f>
        <v>1.8552522886094869</v>
      </c>
      <c r="AB22" s="47">
        <f>IF(FT="Liquid",$BP$14*0.05,"NA")</f>
        <v>9.2762614430474344E-2</v>
      </c>
      <c r="AC22" s="47"/>
      <c r="AD22" s="15"/>
      <c r="AE22" s="15"/>
      <c r="AF22" s="15"/>
      <c r="AG22" s="15"/>
      <c r="AH22" s="15"/>
      <c r="AI22" s="15"/>
      <c r="AK22" s="83" t="str">
        <f t="shared" si="0"/>
        <v>Airblast without cabin</v>
      </c>
      <c r="AL22" s="60">
        <f>(W21*$B$8+W33*$B$9 + W22+W34)/1000</f>
        <v>0.508800577902075</v>
      </c>
      <c r="AM22" s="60"/>
      <c r="AN22" s="60"/>
      <c r="AO22" s="60"/>
      <c r="AP22" s="60"/>
      <c r="AQ22" s="60"/>
      <c r="AR22" s="60"/>
      <c r="AS22" s="60"/>
      <c r="AT22" s="60"/>
      <c r="AU22" s="60">
        <f>(X21*$B$8+X33*$B$9 + X22+X34)/1000</f>
        <v>0.20566553342587365</v>
      </c>
      <c r="AV22" s="60">
        <f>(Y21*$B$8+X33*$B$9 + Y22+X34)/1000</f>
        <v>0.15661840650172471</v>
      </c>
      <c r="AW22" s="60">
        <f>(X21*$B$8+Y33*$B$9 + X22+Y34)/1000</f>
        <v>0.10847138444387623</v>
      </c>
      <c r="AX22" s="60">
        <f>(Y21*$B$8+Y33*$B$9 + Y22+Y34)/1000</f>
        <v>5.9424257519727262E-2</v>
      </c>
      <c r="AY22" s="45">
        <f>(Z21*$B$8+X33*$B$9 + Z22+X34)/1000</f>
        <v>0.15652577872188839</v>
      </c>
      <c r="AZ22" s="61">
        <f>(AA21*$B$8+X33*$B$9 + AA22+X34)/1000</f>
        <v>0.15644241372003573</v>
      </c>
      <c r="BA22" s="45">
        <f>(AB21*$B$8+X33*$B$9 + AB22+X34)/1000</f>
        <v>0.15394587244557253</v>
      </c>
      <c r="BB22" s="60">
        <f>(X21*$B$8+AC33*$B$9 + X22+AC34)/1000</f>
        <v>8.7824791459047286E-2</v>
      </c>
      <c r="BC22" s="60">
        <f>(Y21*$B$8+AC33*$B$9 + Y22+AC34)/1000</f>
        <v>3.8777664534898323E-2</v>
      </c>
      <c r="BD22" s="45">
        <f>(Z21*$B$8+Y33*$B$9 + Z22+Y34)/1000</f>
        <v>5.9331629739890958E-2</v>
      </c>
      <c r="BE22" s="45">
        <f>(AA21*$B$8+Y33*$B$9 + AA22+Y34)/1000</f>
        <v>5.9248264738038271E-2</v>
      </c>
      <c r="BF22" s="45">
        <f>(AB21*$B$8+Y33*$B$9 + AB22+Y34)/1000</f>
        <v>5.6751723463575106E-2</v>
      </c>
      <c r="BG22" s="60">
        <f>(Z21*$B$8+AC33*$B$9 + Z22+AC34)/1000</f>
        <v>3.8685036755062012E-2</v>
      </c>
      <c r="BH22" s="60">
        <f>(AA21*$B$8+AC33*$B$9 + AA22+AC34)/1000</f>
        <v>3.8601671753209339E-2</v>
      </c>
      <c r="BI22" s="69">
        <f>(AB21*$B$8+AC33*$B$9 + AB22+AC34)/1000</f>
        <v>3.6105130478746146E-2</v>
      </c>
    </row>
    <row r="23" spans="3:79" ht="14.25" customHeight="1">
      <c r="C23" s="9"/>
      <c r="D23" s="9"/>
      <c r="E23" s="9"/>
      <c r="F23" s="9"/>
      <c r="G23" s="9"/>
      <c r="H23" s="9"/>
      <c r="I23" s="9"/>
      <c r="J23" s="9"/>
      <c r="K23" s="9"/>
      <c r="L23" s="9"/>
      <c r="M23" s="9"/>
      <c r="N23" s="9"/>
      <c r="O23" s="9"/>
      <c r="P23" s="9"/>
      <c r="Q23" s="9"/>
      <c r="R23" s="9"/>
      <c r="S23" s="9"/>
      <c r="T23" s="9"/>
      <c r="U23" s="9"/>
      <c r="V23" s="50" t="s">
        <v>142</v>
      </c>
      <c r="W23" s="51">
        <f>W22*0.2</f>
        <v>0.37105045772189738</v>
      </c>
      <c r="X23" s="51">
        <f t="shared" ref="X23:Y23" si="1">X22*0.2</f>
        <v>0.37105045772189738</v>
      </c>
      <c r="Y23" s="51">
        <f t="shared" si="1"/>
        <v>0.37105045772189738</v>
      </c>
      <c r="Z23" s="51">
        <f t="shared" ref="Z23:AA23" si="2">Z22*0.2</f>
        <v>0.37105045772189738</v>
      </c>
      <c r="AA23" s="51">
        <f t="shared" si="2"/>
        <v>0.37105045772189738</v>
      </c>
      <c r="AB23" s="51">
        <f>IF(FT="Liquid",AB22*0.2,"NA")</f>
        <v>1.8552522886094869E-2</v>
      </c>
      <c r="AC23" s="51"/>
      <c r="AD23" s="6"/>
      <c r="AE23" s="6"/>
      <c r="AF23" s="6"/>
      <c r="AG23" s="6"/>
      <c r="AH23" s="6"/>
      <c r="AI23" s="6"/>
      <c r="AK23" s="83" t="str">
        <f t="shared" si="0"/>
        <v>Airblast with cabin</v>
      </c>
      <c r="AL23" s="60">
        <f>(W21*$B$8+W36*$B$9 + W22+W37)/1000</f>
        <v>0.23675264892528469</v>
      </c>
      <c r="AM23" s="60"/>
      <c r="AN23" s="60"/>
      <c r="AO23" s="60"/>
      <c r="AP23" s="60"/>
      <c r="AQ23" s="60"/>
      <c r="AR23" s="60"/>
      <c r="AS23" s="60"/>
      <c r="AT23" s="60"/>
      <c r="AU23" s="60">
        <f>(X21*$B$8+X36*$B$9 + X22+X37)/1000</f>
        <v>0.10846089076123676</v>
      </c>
      <c r="AV23" s="60">
        <f>(Y21*$B$8+X36*$B$9 + Y22+X37)/1000</f>
        <v>5.9413763837087775E-2</v>
      </c>
      <c r="AW23" s="60">
        <f>(X21*$B$8+Y36*$B$9 + X22+Y37)/1000</f>
        <v>5.8063381178432821E-2</v>
      </c>
      <c r="AX23" s="60">
        <f>(Y21*$B$8+Y36*$B$9 + Y22+Y37)/1000</f>
        <v>9.016254254283847E-3</v>
      </c>
      <c r="AY23" s="45">
        <f>(Z21*$B$8+X36*$B$9 + Z22+X37)/1000</f>
        <v>5.9321136057251471E-2</v>
      </c>
      <c r="AZ23" s="61">
        <f>(AA21*$B$8+X36*$B$9 + AA22+X37)/1000</f>
        <v>5.9237771055398798E-2</v>
      </c>
      <c r="BA23" s="45">
        <f>(AB21*$B$8+X36*$B$9 + AB22+X37)/1000</f>
        <v>5.6741229780935619E-2</v>
      </c>
      <c r="BB23" s="60">
        <f>(X21*$B$8+AC36*$B$9 + X22+AC37)/1000</f>
        <v>5.5900884604643673E-2</v>
      </c>
      <c r="BC23" s="60">
        <f>(Y21*$B$8+AC36*$B$9 + Y22+AC37)/1000</f>
        <v>6.8537576804947034E-3</v>
      </c>
      <c r="BD23" s="45">
        <f>(Z21*$B$8+Y36*$B$9 + Z22+Y37)/1000</f>
        <v>8.9236264744475425E-3</v>
      </c>
      <c r="BE23" s="45">
        <f>(AA21*$B$8+Y36*$B$9 + AA22+Y37)/1000</f>
        <v>8.8402614725948681E-3</v>
      </c>
      <c r="BF23" s="45">
        <f>(AB21*$B$8+Y36*$B$9 + AB22+Y37)/1000</f>
        <v>6.3437201981316861E-3</v>
      </c>
      <c r="BG23" s="60">
        <f>(Z21*$B$8+AC36*$B$9 + Z22+AC37)/1000</f>
        <v>6.761129900658398E-3</v>
      </c>
      <c r="BH23" s="60">
        <f>(AA21*$B$8+AC36*$B$9 + AA22+AC37)/1000</f>
        <v>6.6777648988057227E-3</v>
      </c>
      <c r="BI23" s="69">
        <f>(AB21*$B$8+AC36*$B$9 + AB22+AC37)/1000</f>
        <v>4.1812236243425407E-3</v>
      </c>
    </row>
    <row r="24" spans="3:79" ht="15">
      <c r="C24" s="9"/>
      <c r="D24" s="9"/>
      <c r="E24" s="9"/>
      <c r="F24" s="9"/>
      <c r="G24" s="9"/>
      <c r="H24" s="9"/>
      <c r="I24" s="9"/>
      <c r="J24" s="9"/>
      <c r="K24" s="9"/>
      <c r="L24" s="9"/>
      <c r="M24" s="9"/>
      <c r="N24" s="9"/>
      <c r="O24" s="9"/>
      <c r="P24" s="9"/>
      <c r="Q24" s="9"/>
      <c r="R24" s="9"/>
      <c r="S24" s="9"/>
      <c r="T24" s="9"/>
      <c r="U24" s="9"/>
      <c r="V24" s="50" t="s">
        <v>143</v>
      </c>
      <c r="W24" s="47">
        <f>BQ14+BS14+BU14</f>
        <v>10303</v>
      </c>
      <c r="X24" s="47">
        <f>BQ14+BT14+BU14</f>
        <v>9525</v>
      </c>
      <c r="Y24" s="47">
        <f>BR14+BT14+BU14</f>
        <v>48</v>
      </c>
      <c r="Z24" s="47">
        <f>BR14+BT14*0.5+BU14</f>
        <v>35.5</v>
      </c>
      <c r="AA24" s="47">
        <f>BR14+BT14*0.05+BU14</f>
        <v>24.25</v>
      </c>
      <c r="AB24" s="47">
        <f>IF(FT="Liquid",(BR14+BT14+BU14)*0.05, "NA")</f>
        <v>2.4000000000000004</v>
      </c>
      <c r="AC24" s="47"/>
      <c r="AD24" s="15"/>
      <c r="AE24" s="15"/>
      <c r="AF24" s="15"/>
      <c r="AG24" s="15"/>
      <c r="AH24" s="15"/>
      <c r="AI24" s="15"/>
      <c r="AK24" s="83" t="str">
        <f t="shared" si="0"/>
        <v>Handheld - normal crop - Lance Tank</v>
      </c>
      <c r="AL24" s="60">
        <f>(W21*$B$8+W39*$B$9 + W22+W40)/1000</f>
        <v>8.0607179399835598</v>
      </c>
      <c r="AM24" s="60"/>
      <c r="AN24" s="60"/>
      <c r="AO24" s="60"/>
      <c r="AP24" s="60"/>
      <c r="AQ24" s="60"/>
      <c r="AR24" s="60"/>
      <c r="AS24" s="60"/>
      <c r="AT24" s="60"/>
      <c r="AU24" s="60">
        <f>(X21*$B$8+X39*$B$9 + X22+X40)/1000</f>
        <v>0.81996939106627176</v>
      </c>
      <c r="AV24" s="60">
        <f>(Y21*$B$8+X39*$B$9 + Y22+X40)/1000</f>
        <v>0.77092226414212284</v>
      </c>
      <c r="AW24" s="60">
        <f>(X21*$B$8+Y39*$B$9 + X22+Y40)/1000</f>
        <v>0.46579948273463456</v>
      </c>
      <c r="AX24" s="60">
        <f>(Y21*$B$8+Y39*$B$9 + Y22+Y40)/1000</f>
        <v>0.41675235581048559</v>
      </c>
      <c r="AY24" s="45">
        <f>(Z21*$B$8+X39*$B$9 + Z22+X40)/1000</f>
        <v>0.77082963636228652</v>
      </c>
      <c r="AZ24" s="61">
        <f>(AA21*$B$8+X39*$B$9 + AA22+X40)/1000</f>
        <v>0.77074627136043372</v>
      </c>
      <c r="BA24" s="45">
        <f>(AB21*$B$8+X39*$B$9 + AB22+X40)/1000</f>
        <v>0.76824973008597064</v>
      </c>
      <c r="BB24" s="60">
        <f>(X21*$B$8+AC39*$B$9 + X22+AC40)/1000</f>
        <v>8.6191916563246318E-2</v>
      </c>
      <c r="BC24" s="60">
        <f>(Y21*$B$8+AC39*$B$9 + Y22+AC40)/1000</f>
        <v>3.7144789639097363E-2</v>
      </c>
      <c r="BD24" s="45">
        <f>(Z21*$B$8+Y39*$B$9 + Z22+Y40)/1000</f>
        <v>0.41665972803064927</v>
      </c>
      <c r="BE24" s="45">
        <f>(AA21*$B$8+Y39*$B$9 + AA22+Y40)/1000</f>
        <v>0.41657636302879658</v>
      </c>
      <c r="BF24" s="45">
        <f>(AB21*$B$8+Y39*$B$9 + AB22+Y40)/1000</f>
        <v>0.41407982175433339</v>
      </c>
      <c r="BG24" s="60">
        <f>(Z21*$B$8+AC39*$B$9 + Z22+AC40)/1000</f>
        <v>3.7052161859261058E-2</v>
      </c>
      <c r="BH24" s="60">
        <f>(AA21*$B$8+AC39*$B$9 + AA22+AC40)/1000</f>
        <v>3.6968796857408379E-2</v>
      </c>
      <c r="BI24" s="69">
        <f>(AB21*$B$8+AC39*$B$9 + AB22+AC40)/1000</f>
        <v>3.4472255582945192E-2</v>
      </c>
    </row>
    <row r="25" spans="3:79" ht="15">
      <c r="C25" s="7"/>
      <c r="D25" s="7"/>
      <c r="E25" s="12" t="s">
        <v>144</v>
      </c>
      <c r="G25" s="9"/>
      <c r="H25" s="9"/>
      <c r="I25" s="9"/>
      <c r="J25" s="9"/>
      <c r="K25" s="9"/>
      <c r="L25" s="9"/>
      <c r="M25" s="9"/>
      <c r="N25" s="9"/>
      <c r="O25" s="9"/>
      <c r="P25" s="9"/>
      <c r="Q25" s="9"/>
      <c r="R25" s="9"/>
      <c r="S25" s="9"/>
      <c r="T25" s="9"/>
      <c r="U25" s="9"/>
      <c r="V25" s="50" t="s">
        <v>145</v>
      </c>
      <c r="W25" s="47">
        <f>$BV$14</f>
        <v>25</v>
      </c>
      <c r="X25" s="47">
        <f>$BV$14</f>
        <v>25</v>
      </c>
      <c r="Y25" s="47">
        <f>$BV$14</f>
        <v>25</v>
      </c>
      <c r="Z25" s="47">
        <f>$BV$14</f>
        <v>25</v>
      </c>
      <c r="AA25" s="47">
        <f>$BV$14</f>
        <v>25</v>
      </c>
      <c r="AB25" s="47">
        <f>IF(FT="Liquid",$BV$14*0.05, "NA")</f>
        <v>1.25</v>
      </c>
      <c r="AC25" s="47"/>
      <c r="AD25" s="15"/>
      <c r="AE25" s="15"/>
      <c r="AF25" s="15"/>
      <c r="AG25" s="15"/>
      <c r="AH25" s="15"/>
      <c r="AI25" s="15"/>
      <c r="AK25" s="83" t="str">
        <f t="shared" si="0"/>
        <v>Handheld - normal crop - Knapsack</v>
      </c>
      <c r="AL25" s="60">
        <f>(W24*$B$8+W39*$B$9 + W25+W40)/1000</f>
        <v>8.6098047710888022</v>
      </c>
      <c r="AM25" s="60"/>
      <c r="AN25" s="60"/>
      <c r="AO25" s="60"/>
      <c r="AP25" s="60"/>
      <c r="AQ25" s="60"/>
      <c r="AR25" s="60"/>
      <c r="AS25" s="60"/>
      <c r="AT25" s="60"/>
      <c r="AU25" s="60">
        <f>(X24*$B$8+X39*$B$9 + X25+X40)/1000</f>
        <v>1.3646090703988047</v>
      </c>
      <c r="AV25" s="60">
        <f>(Y24*$B$8+X39*$B$9 + Y25+X40)/1000</f>
        <v>0.79598907039880473</v>
      </c>
      <c r="AW25" s="60">
        <f>(X24*$B$8+Y39*$B$9 + X25+Y40)/1000</f>
        <v>1.0104391620671676</v>
      </c>
      <c r="AX25" s="60">
        <f>(Y24*$B$8+Y39*$B$9 + Y25+Y40)/1000</f>
        <v>0.44181916206716748</v>
      </c>
      <c r="AY25" s="45">
        <f>(Z24*$B$8+X39*$B$9 + Z25+X40)/1000</f>
        <v>0.7952390703988047</v>
      </c>
      <c r="AZ25" s="61">
        <f>(AA24*$B$8+X39*$B$9 + AA25+X40)/1000</f>
        <v>0.79456407039880483</v>
      </c>
      <c r="BA25" s="45" t="s">
        <v>146</v>
      </c>
      <c r="BB25" s="60">
        <f>(X24*$B$8+AC39*$B$9 + X25+AC40)/1000</f>
        <v>0.63083159589577931</v>
      </c>
      <c r="BC25" s="60">
        <f>(Y24*$B$8+AC39*$B$9 + Y25+AC40)/1000</f>
        <v>6.2211595895779292E-2</v>
      </c>
      <c r="BD25" s="45">
        <f>(Z24*$B$8+Y39*$B$9 + Z25+Y40)/1000</f>
        <v>0.44106916206716751</v>
      </c>
      <c r="BE25" s="45">
        <f>(AA24*$B$8+Y39*$B$9 + AA25+Y40)/1000</f>
        <v>0.44039416206716747</v>
      </c>
      <c r="BF25" s="45" t="s">
        <v>146</v>
      </c>
      <c r="BG25" s="60">
        <f>(Z24*$B$8+AC39*$B$9 + Z25+AC40)/1000</f>
        <v>6.1461595895779292E-2</v>
      </c>
      <c r="BH25" s="60">
        <f>(AA24*$B$8+AC39*$B$9 + AA25+AC40)/1000</f>
        <v>6.078659589577929E-2</v>
      </c>
      <c r="BI25" s="69" t="s">
        <v>146</v>
      </c>
    </row>
    <row r="26" spans="3:79" ht="15.75" thickBot="1">
      <c r="C26" s="7"/>
      <c r="D26" s="7"/>
      <c r="G26" s="7"/>
      <c r="H26" s="7"/>
      <c r="I26" s="7"/>
      <c r="J26" s="7"/>
      <c r="K26" s="7"/>
      <c r="L26" s="7"/>
      <c r="M26" s="7"/>
      <c r="N26" s="7"/>
      <c r="O26" s="7"/>
      <c r="P26" s="7"/>
      <c r="Q26" s="7"/>
      <c r="R26" s="7"/>
      <c r="S26" s="7"/>
      <c r="T26" s="7"/>
      <c r="U26" s="7"/>
      <c r="V26" s="50" t="s">
        <v>147</v>
      </c>
      <c r="W26" s="45">
        <f>W25*0.2</f>
        <v>5</v>
      </c>
      <c r="X26" s="45">
        <f t="shared" ref="X26:Y26" si="3">X25*0.2</f>
        <v>5</v>
      </c>
      <c r="Y26" s="45">
        <f t="shared" si="3"/>
        <v>5</v>
      </c>
      <c r="Z26" s="45">
        <f t="shared" ref="Z26:AA26" si="4">Z25*0.2</f>
        <v>5</v>
      </c>
      <c r="AA26" s="45">
        <f t="shared" si="4"/>
        <v>5</v>
      </c>
      <c r="AB26" s="45">
        <f>IF(FT="Liquid",AB25*0.2, "NA")</f>
        <v>0.25</v>
      </c>
      <c r="AC26" s="45"/>
      <c r="AK26" s="83" t="str">
        <f t="shared" si="0"/>
        <v>Handheld - normal crop - Powerblaster/motorized Knapsack</v>
      </c>
      <c r="AL26" s="60">
        <f>(W24*$B$8+W39*$B$9 + W25+W40)/1000</f>
        <v>8.6098047710888022</v>
      </c>
      <c r="AM26" s="60"/>
      <c r="AN26" s="60"/>
      <c r="AO26" s="60"/>
      <c r="AP26" s="60"/>
      <c r="AQ26" s="60"/>
      <c r="AR26" s="60"/>
      <c r="AS26" s="60"/>
      <c r="AT26" s="60"/>
      <c r="AU26" s="60">
        <f>(X24*$B$8+X39*$B$9 + X25+X40)/1000</f>
        <v>1.3646090703988047</v>
      </c>
      <c r="AV26" s="60">
        <f>(Y24*$B$8+X39*$B$9 + Y25+X40)/1000</f>
        <v>0.79598907039880473</v>
      </c>
      <c r="AW26" s="60">
        <f>(X24*$B$8+Y39*$B$9 + X25+Y40)/1000</f>
        <v>1.0104391620671676</v>
      </c>
      <c r="AX26" s="60">
        <f>(Y24*$B$8+Y39*$B$9 + Y25+Y40)/1000</f>
        <v>0.44181916206716748</v>
      </c>
      <c r="AY26" s="45">
        <f>(Z24*$B$8+X39*$B$9 + Z25+X40)/1000</f>
        <v>0.7952390703988047</v>
      </c>
      <c r="AZ26" s="61">
        <f>(AA24*$B$8+X39*$B$9 + AA25+X40)/1000</f>
        <v>0.79456407039880483</v>
      </c>
      <c r="BA26" s="45" t="s">
        <v>146</v>
      </c>
      <c r="BB26" s="60">
        <f>(X24*$B$8+AC39*$B$9 + X25+AC40)/1000</f>
        <v>0.63083159589577931</v>
      </c>
      <c r="BC26" s="60">
        <f>(Y24*$B$8+AC39*$B$9 + Y25+AC40)/1000</f>
        <v>6.2211595895779292E-2</v>
      </c>
      <c r="BD26" s="45">
        <f>(Z24*$B$8+Y39*$B$9 + Z25+Y40)/1000</f>
        <v>0.44106916206716751</v>
      </c>
      <c r="BE26" s="45">
        <f>(AA24*$B$8+Y39*$B$9 + AA25+Y40)/1000</f>
        <v>0.44039416206716747</v>
      </c>
      <c r="BF26" s="45" t="s">
        <v>146</v>
      </c>
      <c r="BG26" s="60">
        <f>(Z24*$B$8+AC39*$B$9 + Z25+AC40)/1000</f>
        <v>6.1461595895779292E-2</v>
      </c>
      <c r="BH26" s="60">
        <f>(AA24*$B$8+AC39*$B$9 + AA25+AC40)/1000</f>
        <v>6.078659589577929E-2</v>
      </c>
      <c r="BI26" s="69" t="s">
        <v>146</v>
      </c>
    </row>
    <row r="27" spans="3:79" ht="15">
      <c r="C27" s="7"/>
      <c r="D27" s="7"/>
      <c r="E27" s="90"/>
      <c r="F27" s="91" t="s">
        <v>148</v>
      </c>
      <c r="G27" s="92" t="s">
        <v>149</v>
      </c>
      <c r="H27" s="7"/>
      <c r="I27" s="7"/>
      <c r="J27" s="7"/>
      <c r="K27" s="7"/>
      <c r="L27" s="7"/>
      <c r="M27" s="7"/>
      <c r="N27" s="7"/>
      <c r="O27" s="7"/>
      <c r="P27" s="7"/>
      <c r="Q27" s="7"/>
      <c r="R27" s="7"/>
      <c r="S27" s="7"/>
      <c r="T27" s="7"/>
      <c r="U27" s="7"/>
      <c r="V27" s="50" t="s">
        <v>150</v>
      </c>
      <c r="W27" s="47">
        <f>BW14/0.01</f>
        <v>184.5</v>
      </c>
      <c r="X27" s="47">
        <f>BW14</f>
        <v>1.845</v>
      </c>
      <c r="Y27" s="47">
        <f>BX14</f>
        <v>1.516</v>
      </c>
      <c r="Z27" s="47">
        <f>BX14*0.5</f>
        <v>0.75800000000000001</v>
      </c>
      <c r="AA27" s="47">
        <f>BX14*0.05</f>
        <v>7.5800000000000006E-2</v>
      </c>
      <c r="AB27" s="47"/>
      <c r="AC27" s="47"/>
      <c r="AD27" s="15"/>
      <c r="AE27" s="15"/>
      <c r="AF27" s="15"/>
      <c r="AG27" s="15"/>
      <c r="AH27" s="15"/>
      <c r="AI27" s="15"/>
      <c r="AK27" s="83" t="str">
        <f t="shared" si="0"/>
        <v>Handheld - dense crop - downwards -  Lance Tank</v>
      </c>
      <c r="AL27" s="45">
        <f>(W21*$B$8+W51*$B$9 + W22+W52)/1000</f>
        <v>13.996217939983559</v>
      </c>
      <c r="AM27" s="45"/>
      <c r="AN27" s="45"/>
      <c r="AO27" s="45"/>
      <c r="AP27" s="45"/>
      <c r="AQ27" s="45"/>
      <c r="AR27" s="45"/>
      <c r="AS27" s="45"/>
      <c r="AT27" s="45"/>
      <c r="AU27" s="45">
        <f>(X21*$B$8+X51*$B$9 + X22+X52)/1000</f>
        <v>2.2380693910662717</v>
      </c>
      <c r="AV27" s="45">
        <f>(Y21*$B$8+X51*$B$9 + Y22+X52)/1000</f>
        <v>2.1890222641421224</v>
      </c>
      <c r="AW27" s="45">
        <f>(X21*$B$8+Y51*$B$9 + X22+Y52)/1000</f>
        <v>1.8838994827346345</v>
      </c>
      <c r="AX27" s="45">
        <f>(Y21*$B$8+Y51*$B$9 + Y22+Y52)/1000</f>
        <v>1.8348523558104854</v>
      </c>
      <c r="AY27" s="45">
        <f>(Z21*$B$8+X51*$B$9 + Z22+X52)/1000</f>
        <v>2.1889296363622863</v>
      </c>
      <c r="AZ27" s="61">
        <f>(AA21*$B$8+X51*$B$9 + AA22+X52)/1000</f>
        <v>2.1888462713604335</v>
      </c>
      <c r="BA27" s="45">
        <f>(AB21*$B$8+X51*$B$9 + AB22+X52)/1000</f>
        <v>2.1863497300859702</v>
      </c>
      <c r="BB27" s="45">
        <f>(X21*$B$8+AC51*$B$9 + X22+AC52)/1000</f>
        <v>0.15709691656324631</v>
      </c>
      <c r="BC27" s="45">
        <f>(Y21*$B$8+AC51*$B$9 + Y22+AC52)/1000</f>
        <v>0.10804978963909735</v>
      </c>
      <c r="BD27" s="45">
        <f>(Z21*$B$8+Y51*$B$9 + Z22+Y52)/1000</f>
        <v>1.8347597280306494</v>
      </c>
      <c r="BE27" s="45">
        <f>(AA21*$B$8+Y51*$B$9 + AA22+Y52)/1000</f>
        <v>1.8346763630287966</v>
      </c>
      <c r="BF27" s="45">
        <f>(AB21*$B$8+Y51*$B$9 + AB22+Y52)/1000</f>
        <v>1.8321798217543332</v>
      </c>
      <c r="BG27" s="45">
        <f>(Z21*$B$8+AC51*$B$9 + Z22+AC52)/1000</f>
        <v>0.10795716185926105</v>
      </c>
      <c r="BH27" s="45">
        <f>(AA21*$B$8+AC51*$B$9 + AA22+AC52)/1000</f>
        <v>0.10787379685740837</v>
      </c>
      <c r="BI27" s="70">
        <f>(AB21*$B$8+AC51*$B$9 + AB22+AC52)/1000</f>
        <v>0.10537725558294518</v>
      </c>
    </row>
    <row r="28" spans="3:79" ht="87.75">
      <c r="E28" s="81" t="s">
        <v>151</v>
      </c>
      <c r="F28" s="44" t="s">
        <v>152</v>
      </c>
      <c r="G28" s="94" t="s">
        <v>153</v>
      </c>
      <c r="H28" s="7"/>
      <c r="I28" s="7"/>
      <c r="J28" s="7"/>
      <c r="K28" s="7"/>
      <c r="L28" s="7"/>
      <c r="M28" s="7"/>
      <c r="N28" s="7"/>
      <c r="O28" s="7"/>
      <c r="P28" s="7"/>
      <c r="Q28" s="7"/>
      <c r="R28" s="7"/>
      <c r="S28" s="7"/>
      <c r="T28" s="7"/>
      <c r="U28" s="7"/>
      <c r="V28" s="50" t="s">
        <v>154</v>
      </c>
      <c r="W28" s="51">
        <f>$BY$14</f>
        <v>0.375</v>
      </c>
      <c r="X28" s="51">
        <f>$BY$14</f>
        <v>0.375</v>
      </c>
      <c r="Y28" s="51">
        <f>$BY$14</f>
        <v>0.375</v>
      </c>
      <c r="Z28" s="51">
        <f>$BY$14</f>
        <v>0.375</v>
      </c>
      <c r="AA28" s="51">
        <f>$BY$14</f>
        <v>0.375</v>
      </c>
      <c r="AB28" s="51"/>
      <c r="AC28" s="51"/>
      <c r="AD28" s="6"/>
      <c r="AE28" s="6"/>
      <c r="AF28" s="6"/>
      <c r="AG28" s="6"/>
      <c r="AH28" s="6"/>
      <c r="AI28" s="6"/>
      <c r="AK28" s="83" t="str">
        <f t="shared" si="0"/>
        <v>Handheld - dense crop - downwards -  (motorized) Knapsack</v>
      </c>
      <c r="AL28" s="60">
        <f>(W24*$B$8+W51*$B$9 + W25+W52)/1000</f>
        <v>14.5453047710888</v>
      </c>
      <c r="AM28" s="60"/>
      <c r="AN28" s="60"/>
      <c r="AO28" s="60"/>
      <c r="AP28" s="60"/>
      <c r="AQ28" s="60"/>
      <c r="AR28" s="60"/>
      <c r="AS28" s="60"/>
      <c r="AT28" s="60"/>
      <c r="AU28" s="60">
        <f>(X24*$B$8+X51*$B$9 + X25+X52)/1000</f>
        <v>2.7827090703988047</v>
      </c>
      <c r="AV28" s="60">
        <f>(Y24*$B$8+X51*$B$9 + Y25+X52)/1000</f>
        <v>2.214089070398805</v>
      </c>
      <c r="AW28" s="60">
        <f>(X24*$B$8+Y51*$B$9 + X25+Y52)/1000</f>
        <v>2.4285391620671675</v>
      </c>
      <c r="AX28" s="60">
        <f>(Y24*$B$8+Y51*$B$9 + Y25+Y52)/1000</f>
        <v>1.8599191620671676</v>
      </c>
      <c r="AY28" s="45">
        <f>(Z24*$B$8+X51*$B$9 + Z25+X52)/1000</f>
        <v>2.213339070398805</v>
      </c>
      <c r="AZ28" s="61">
        <f>(AA24*$B$8+X51*$B$9 + AA25+X52)/1000</f>
        <v>2.2126640703988047</v>
      </c>
      <c r="BA28" s="45" t="s">
        <v>146</v>
      </c>
      <c r="BB28" s="60">
        <f>(X24*$B$8+AC51*$B$9 + X25+AC52)/1000</f>
        <v>0.7017365958957793</v>
      </c>
      <c r="BC28" s="60">
        <f>(Y24*$B$8+AC51*$B$9 + Y25+AC52)/1000</f>
        <v>0.13311659589577929</v>
      </c>
      <c r="BD28" s="45">
        <f>(Z24*$B$8+Y51*$B$9 + Z25+Y52)/1000</f>
        <v>1.8591691620671675</v>
      </c>
      <c r="BE28" s="45">
        <f>(AA24*$B$8+Y51*$B$9 + AA25+Y52)/1000</f>
        <v>1.8584941620671673</v>
      </c>
      <c r="BF28" s="45" t="s">
        <v>146</v>
      </c>
      <c r="BG28" s="60">
        <f>(Z24*$B$8+AC51*$B$9 + Z25+AC52)/1000</f>
        <v>0.13236659589577929</v>
      </c>
      <c r="BH28" s="60">
        <f>(AA24*$B$8+AC51*$B$9 + AA25+AC52)/1000</f>
        <v>0.13169159589577931</v>
      </c>
      <c r="BI28" s="69" t="s">
        <v>146</v>
      </c>
    </row>
    <row r="29" spans="3:79" ht="103.5">
      <c r="E29" s="81" t="s">
        <v>155</v>
      </c>
      <c r="F29" s="44" t="s">
        <v>156</v>
      </c>
      <c r="G29" s="94" t="s">
        <v>153</v>
      </c>
      <c r="V29" s="50" t="s">
        <v>157</v>
      </c>
      <c r="W29" s="51">
        <f>W28*0.2</f>
        <v>7.5000000000000011E-2</v>
      </c>
      <c r="X29" s="51">
        <f t="shared" ref="X29:Y29" si="5">X28*0.2</f>
        <v>7.5000000000000011E-2</v>
      </c>
      <c r="Y29" s="51">
        <f t="shared" si="5"/>
        <v>7.5000000000000011E-2</v>
      </c>
      <c r="Z29" s="51">
        <f t="shared" ref="Z29:AA29" si="6">Z28*0.2</f>
        <v>7.5000000000000011E-2</v>
      </c>
      <c r="AA29" s="51">
        <f t="shared" si="6"/>
        <v>7.5000000000000011E-2</v>
      </c>
      <c r="AB29" s="51"/>
      <c r="AC29" s="51"/>
      <c r="AD29" s="6"/>
      <c r="AE29" s="6"/>
      <c r="AF29" s="6"/>
      <c r="AG29" s="6"/>
      <c r="AH29" s="6"/>
      <c r="AI29" s="6"/>
      <c r="AK29" s="83" t="str">
        <f t="shared" si="0"/>
        <v>Handheld - dense crop - upwards - Tank</v>
      </c>
      <c r="AL29" s="60">
        <f>(W21*$B$8+W54*$B$9 + W22+W55)/1000</f>
        <v>18.245653168894755</v>
      </c>
      <c r="AM29" s="60"/>
      <c r="AN29" s="60"/>
      <c r="AO29" s="60"/>
      <c r="AP29" s="60"/>
      <c r="AQ29" s="60"/>
      <c r="AR29" s="60"/>
      <c r="AS29" s="60"/>
      <c r="AT29" s="60"/>
      <c r="AU29" s="60">
        <f>(X21*$B$8+X54*$B$9 + X22+X55)/1000</f>
        <v>2.1374003206674668</v>
      </c>
      <c r="AV29" s="60">
        <f>(Y21*$B$8+X54*$B$9 + Y22+X55)/1000</f>
        <v>2.0883531937433175</v>
      </c>
      <c r="AW29" s="60">
        <f>(X21*$B$8+Y54*$B$9 + X22+Y55)/1000</f>
        <v>1.6181303206674671</v>
      </c>
      <c r="AX29" s="60">
        <f>(Y21*$B$8+Y54*$B$9 + Y22+Y55)/1000</f>
        <v>1.5690831937433181</v>
      </c>
      <c r="AY29" s="45">
        <f>(Z21*$B$8+X54*$B$9 + Z22+X55)/1000</f>
        <v>2.0882605659634814</v>
      </c>
      <c r="AZ29" s="61">
        <f>(AA21*$B$8+X54*$B$9 + AA22+X55)/1000</f>
        <v>2.0881772009616286</v>
      </c>
      <c r="BA29" s="45">
        <f>(AB21*$B$8+X54*$B$9 + AB22+X55)/1000</f>
        <v>2.0856806596871658</v>
      </c>
      <c r="BB29" s="60">
        <f>(X21*$B$8+AC54*$B$9 + X22+AC55)/1000</f>
        <v>0.17641882066746703</v>
      </c>
      <c r="BC29" s="60">
        <f>(Y21*$B$8+AC54*$B$9 + Y22+AC55)/1000</f>
        <v>0.12737169374331808</v>
      </c>
      <c r="BD29" s="45">
        <f>(Z21*$B$8+Y54*$B$9 + Z22+Y55)/1000</f>
        <v>1.568990565963482</v>
      </c>
      <c r="BE29" s="45">
        <f>(AA21*$B$8+Y54*$B$9 + AA22+Y55)/1000</f>
        <v>1.5689072009616292</v>
      </c>
      <c r="BF29" s="45">
        <f>(AB21*$B$8+Y54*$B$9 + AB22+Y55)/1000</f>
        <v>1.5664106596871659</v>
      </c>
      <c r="BG29" s="60">
        <f>(Z21*$B$8+AC54*$B$9 + Z22+AC55)/1000</f>
        <v>0.12727906596348176</v>
      </c>
      <c r="BH29" s="60">
        <f>(AA21*$B$8+AC54*$B$9 + AA22+AC55)/1000</f>
        <v>0.1271957009616291</v>
      </c>
      <c r="BI29" s="69">
        <f>(AB21*$B$8+AC54*$B$9 + AB22+AC55)/1000</f>
        <v>0.12469915968716591</v>
      </c>
    </row>
    <row r="30" spans="3:79" ht="89.25">
      <c r="E30" s="81" t="s">
        <v>158</v>
      </c>
      <c r="F30" s="44" t="s">
        <v>159</v>
      </c>
      <c r="G30" s="95" t="s">
        <v>153</v>
      </c>
      <c r="V30" s="50" t="s">
        <v>160</v>
      </c>
      <c r="W30" s="47">
        <f>CB14+CD14+CF14</f>
        <v>23.517592776035386</v>
      </c>
      <c r="X30" s="47">
        <f>CB14+CE14+CF14</f>
        <v>15.451804519011633</v>
      </c>
      <c r="Y30" s="47">
        <f>CC14+CE14+CF14</f>
        <v>12.745113938368883</v>
      </c>
      <c r="Z30" s="47"/>
      <c r="AA30" s="47"/>
      <c r="AB30" s="47"/>
      <c r="AC30" s="47">
        <f>CC14+CE14*0.05+CF14*0.5</f>
        <v>12.333006433579669</v>
      </c>
      <c r="AD30" s="15"/>
      <c r="AE30" s="15"/>
      <c r="AF30" s="15"/>
      <c r="AG30" s="15"/>
      <c r="AH30" s="15"/>
      <c r="AI30" s="15"/>
      <c r="AK30" s="83" t="str">
        <f t="shared" si="0"/>
        <v>Handheld - dense crop - upwards - (motorized) Knapsack</v>
      </c>
      <c r="AL30" s="60">
        <f>(W24*$B$8+W54*$B$9 + W25+W55)/1000</f>
        <v>18.794739999999997</v>
      </c>
      <c r="AM30" s="60"/>
      <c r="AN30" s="60"/>
      <c r="AO30" s="60"/>
      <c r="AP30" s="60"/>
      <c r="AQ30" s="60"/>
      <c r="AR30" s="60"/>
      <c r="AS30" s="60"/>
      <c r="AT30" s="60"/>
      <c r="AU30" s="60">
        <f>(X24*$B$8+X54*$B$9 + X25+X55)/1000</f>
        <v>2.6820399999999998</v>
      </c>
      <c r="AV30" s="60">
        <f>(Y24*$B$8+X54*$B$9 + Y25+X55)/1000</f>
        <v>2.1134200000000001</v>
      </c>
      <c r="AW30" s="60">
        <f>(X24*$B$8+Y54*$B$9 + X25+Y55)/1000</f>
        <v>2.1627700000000001</v>
      </c>
      <c r="AX30" s="60">
        <f>(Y24*$B$8+Y54*$B$9 + Y25+Y55)/1000</f>
        <v>1.5941500000000002</v>
      </c>
      <c r="AY30" s="45">
        <f>(Z24*$B$8+X54*$B$9 + Z25+X55)/1000</f>
        <v>2.11267</v>
      </c>
      <c r="AZ30" s="61">
        <f>(AA24*$B$8+X54*$B$9 + AA25+X55)/1000</f>
        <v>2.1119949999999998</v>
      </c>
      <c r="BA30" s="45" t="s">
        <v>146</v>
      </c>
      <c r="BB30" s="60">
        <f>(X24*$B$8+AC54*$B$9 + X25+AC55)/1000</f>
        <v>0.72105849999999994</v>
      </c>
      <c r="BC30" s="60">
        <f>(Y24*$B$8+AC54*$B$9 + Y25+AC55)/1000</f>
        <v>0.1524385</v>
      </c>
      <c r="BD30" s="45">
        <f>(Z24*$B$8+Y54*$B$9 + Z25+Y55)/1000</f>
        <v>1.5934000000000001</v>
      </c>
      <c r="BE30" s="45">
        <f>(AA24*$B$8+Y54*$B$9 + AA25+Y55)/1000</f>
        <v>1.5927249999999999</v>
      </c>
      <c r="BF30" s="45" t="s">
        <v>146</v>
      </c>
      <c r="BG30" s="60">
        <f>(Z24*$B$8+AC54*$B$9 + Z25+AC55)/1000</f>
        <v>0.1516885</v>
      </c>
      <c r="BH30" s="60">
        <f>(AA24*$B$8+AC54*$B$9 + AA25+AC55)/1000</f>
        <v>0.15101349999999999</v>
      </c>
      <c r="BI30" s="69" t="s">
        <v>146</v>
      </c>
    </row>
    <row r="31" spans="3:79" ht="118.5" thickBot="1">
      <c r="E31" s="97" t="s">
        <v>161</v>
      </c>
      <c r="F31" s="93" t="s">
        <v>162</v>
      </c>
      <c r="G31" s="96" t="s">
        <v>153</v>
      </c>
      <c r="V31" s="50" t="s">
        <v>163</v>
      </c>
      <c r="W31" s="47">
        <f>$CG$14</f>
        <v>0.32673178152952609</v>
      </c>
      <c r="X31" s="47">
        <f>$CG$14</f>
        <v>0.32673178152952609</v>
      </c>
      <c r="Y31" s="47">
        <f>$CG$14</f>
        <v>0.32673178152952609</v>
      </c>
      <c r="Z31" s="47"/>
      <c r="AA31" s="47"/>
      <c r="AB31" s="47"/>
      <c r="AC31" s="47">
        <f>$CG$14</f>
        <v>0.32673178152952609</v>
      </c>
      <c r="AD31" s="15"/>
      <c r="AE31" s="15"/>
      <c r="AF31" s="15"/>
      <c r="AG31" s="15"/>
      <c r="AH31" s="15"/>
      <c r="AI31" s="15"/>
      <c r="AK31" s="83" t="str">
        <f>V78</f>
        <v>Solid Broadcast spreader for granules</v>
      </c>
      <c r="AL31" s="60">
        <f>(W27*$B$8+W45*$B$8+W28+W46)/1000</f>
        <v>2.4850000000000001E-2</v>
      </c>
      <c r="AM31" s="60"/>
      <c r="AN31" s="60"/>
      <c r="AO31" s="60"/>
      <c r="AP31" s="60"/>
      <c r="AQ31" s="60"/>
      <c r="AR31" s="60"/>
      <c r="AS31" s="60"/>
      <c r="AT31" s="60"/>
      <c r="AU31" s="60">
        <f>(X27*$B$8+X45*$B$8+X28+X46)/1000</f>
        <v>8.8210000000000003E-4</v>
      </c>
      <c r="AV31" s="60">
        <f>(Y27*$B$8+X45*$B$8+Y28+X46)/1000</f>
        <v>8.6236000000000006E-4</v>
      </c>
      <c r="AW31" s="60">
        <f>(X27*$B$8+Y45*$B$8+X28+Y46)/1000</f>
        <v>8.4592000000000001E-4</v>
      </c>
      <c r="AX31" s="62">
        <f>(Y27*$B$8+Y45*$B$8+Y28+Y46)/1000</f>
        <v>8.2618000000000004E-4</v>
      </c>
      <c r="AY31" s="62">
        <f>(Z27*$B$8+X45*$B$8+Z28+X46)/1000</f>
        <v>8.1687999999999997E-4</v>
      </c>
      <c r="AZ31" s="63">
        <f>(AA27*$B$8+X45*$B$8+AA28+X46)/1000</f>
        <v>7.7594799999999994E-4</v>
      </c>
      <c r="BA31" s="62" t="s">
        <v>146</v>
      </c>
      <c r="BB31" s="60">
        <f>(X27*$B$8+AC45*$B$8+X28+AC46)/1000</f>
        <v>7.5546099999999991E-4</v>
      </c>
      <c r="BC31" s="60">
        <f>(Y27*$B$8+AC45*$B$8+Y28+AC46)/1000</f>
        <v>7.3572100000000005E-4</v>
      </c>
      <c r="BD31" s="62">
        <f>(Z27*$B$8+Y45*$B$8+Z28+Y46)/1000</f>
        <v>7.8070000000000006E-4</v>
      </c>
      <c r="BE31" s="62">
        <f>(AA27*$B$8+Y45*$B$8+AA28+Y46)/1000</f>
        <v>7.3976800000000002E-4</v>
      </c>
      <c r="BF31" s="62" t="s">
        <v>146</v>
      </c>
      <c r="BG31" s="62">
        <f>(Z27*$B$8+AC45*$B$8+Z28+AC46)/1000</f>
        <v>6.9024099999999997E-4</v>
      </c>
      <c r="BH31" s="62">
        <f>(AA27*$B$8+AC45*$B$8+AA28+AC46)/1000</f>
        <v>6.4930900000000004E-4</v>
      </c>
      <c r="BI31" s="71" t="s">
        <v>146</v>
      </c>
    </row>
    <row r="32" spans="3:79" ht="15">
      <c r="V32" s="50" t="s">
        <v>164</v>
      </c>
      <c r="W32" s="51">
        <f>W31*0.2</f>
        <v>6.5346356305905226E-2</v>
      </c>
      <c r="X32" s="51">
        <f t="shared" ref="X32:Y32" si="7">X31*0.2</f>
        <v>6.5346356305905226E-2</v>
      </c>
      <c r="Y32" s="51">
        <f t="shared" si="7"/>
        <v>6.5346356305905226E-2</v>
      </c>
      <c r="Z32" s="51"/>
      <c r="AA32" s="51"/>
      <c r="AB32" s="51"/>
      <c r="AC32" s="51">
        <f t="shared" ref="AC32" si="8">AC31*0.2</f>
        <v>6.5346356305905226E-2</v>
      </c>
      <c r="AD32" s="6"/>
      <c r="AE32" s="6"/>
      <c r="AF32" s="6"/>
      <c r="AG32" s="6"/>
      <c r="AH32" s="6"/>
      <c r="AI32" s="6"/>
      <c r="AJ32" s="6"/>
      <c r="AK32" s="83" t="str">
        <f>V79</f>
        <v>Manual granule application</v>
      </c>
      <c r="AL32" s="60">
        <f>(W48*$B$8+W49)/1000</f>
        <v>137.367831</v>
      </c>
      <c r="AM32" s="60"/>
      <c r="AN32" s="64"/>
      <c r="AO32" s="60"/>
      <c r="AP32" s="60"/>
      <c r="AQ32" s="60"/>
      <c r="AR32" s="60"/>
      <c r="AS32" s="60"/>
      <c r="AT32" s="60"/>
      <c r="AU32" s="60">
        <f>(X48*$B$8+X49)/1000</f>
        <v>1.47625914</v>
      </c>
      <c r="AV32" s="60" t="s">
        <v>146</v>
      </c>
      <c r="AW32" s="60" t="s">
        <v>146</v>
      </c>
      <c r="AX32" s="60">
        <f>(Y48*$B$8+Y49)/1000</f>
        <v>1.0464899999999999</v>
      </c>
      <c r="AY32" s="45" t="s">
        <v>146</v>
      </c>
      <c r="AZ32" s="61" t="s">
        <v>146</v>
      </c>
      <c r="BA32" s="45" t="s">
        <v>146</v>
      </c>
      <c r="BB32" s="60" t="s">
        <v>146</v>
      </c>
      <c r="BC32" s="60" t="s">
        <v>146</v>
      </c>
      <c r="BD32" s="45" t="s">
        <v>146</v>
      </c>
      <c r="BE32" s="45" t="s">
        <v>146</v>
      </c>
      <c r="BF32" s="45" t="s">
        <v>146</v>
      </c>
      <c r="BG32" s="60" t="s">
        <v>146</v>
      </c>
      <c r="BH32" s="60">
        <f>(AC48*$B$8+AC49)/1000</f>
        <v>0.15076065000000002</v>
      </c>
      <c r="BI32" s="69" t="s">
        <v>146</v>
      </c>
      <c r="BJ32" s="6"/>
      <c r="BK32" s="6"/>
      <c r="BL32" s="6"/>
      <c r="BM32" s="6"/>
      <c r="BN32" s="6"/>
      <c r="BO32" s="6"/>
      <c r="BP32" s="6"/>
      <c r="BQ32" s="6"/>
      <c r="BR32" s="6"/>
      <c r="BS32" s="6"/>
      <c r="BT32" s="6"/>
      <c r="BU32" s="6"/>
      <c r="BV32" s="6"/>
      <c r="BW32" s="6"/>
      <c r="BX32" s="6"/>
      <c r="BY32" s="6"/>
      <c r="BZ32" s="6"/>
      <c r="CA32" s="6"/>
    </row>
    <row r="33" spans="22:61" ht="15">
      <c r="V33" s="50" t="s">
        <v>165</v>
      </c>
      <c r="W33" s="47">
        <f>CH14+CJ14+CL14</f>
        <v>1324.4700033525612</v>
      </c>
      <c r="X33" s="47">
        <f>CH14+CK14+CL14</f>
        <v>454.79601585619525</v>
      </c>
      <c r="Y33" s="47">
        <f>CI14+CK14+CL14</f>
        <v>130.81551924953709</v>
      </c>
      <c r="Z33" s="47"/>
      <c r="AA33" s="47"/>
      <c r="AB33" s="47"/>
      <c r="AC33" s="47">
        <f>CI14+CK14*0.05+CL14*0.5</f>
        <v>61.993542633440605</v>
      </c>
      <c r="AD33" s="15"/>
      <c r="AE33" s="15"/>
      <c r="AF33" s="15"/>
      <c r="AG33" s="15"/>
      <c r="AH33" s="15"/>
      <c r="AI33" s="15"/>
      <c r="AK33" s="83" t="str">
        <f>V76</f>
        <v>Aerial (airplane)</v>
      </c>
      <c r="AL33" s="60">
        <f>(W21*$B$8+W42*$B$9 + W22+W43)/1000</f>
        <v>9.6848268894758574E-2</v>
      </c>
      <c r="AM33" s="60"/>
      <c r="AN33" s="60"/>
      <c r="AO33" s="60"/>
      <c r="AP33" s="60"/>
      <c r="AQ33" s="60"/>
      <c r="AR33" s="60"/>
      <c r="AS33" s="60"/>
      <c r="AT33" s="60"/>
      <c r="AU33" s="60">
        <f>(X21*$B$8+X42*$B$9 + X22+X43)/1000</f>
        <v>5.1999120667467043E-2</v>
      </c>
      <c r="AV33" s="60">
        <f>(Y21*$B$8+X42*$B$9 + Y22+X43)/1000</f>
        <v>2.9519937433180655E-3</v>
      </c>
      <c r="AW33" s="60">
        <f>(X21*$B$8+Y42*$B$9 + X22+Y43)/1000</f>
        <v>5.1914520667467039E-2</v>
      </c>
      <c r="AX33" s="60">
        <f>(Y21*$B$8+Y42*$B$9 + Y22+Y43)/1000</f>
        <v>2.8673937433180657E-3</v>
      </c>
      <c r="AY33" s="45">
        <f>(Z21*$B$8+X42*$B$9 + Z22+X43)/1000</f>
        <v>2.8593659634817605E-3</v>
      </c>
      <c r="AZ33" s="61">
        <f>(AA21*$B$8+X42*$B$9 + AA22+X43)/1000</f>
        <v>2.7760009616290856E-3</v>
      </c>
      <c r="BA33" s="45">
        <f>(AB21*$B$8+X42*$B$9 + AB22+X43)/1000</f>
        <v>2.7945968716590325E-4</v>
      </c>
      <c r="BB33" s="60" t="s">
        <v>146</v>
      </c>
      <c r="BC33" s="60" t="s">
        <v>146</v>
      </c>
      <c r="BD33" s="45">
        <f>(Z21*$B$8+Y42*$B$9 + Z22+Y43)/1000</f>
        <v>2.7747659634817607E-3</v>
      </c>
      <c r="BE33" s="45">
        <f>(AA21*$B$8+Y42*$B$9 + AA22+Y43)/1000</f>
        <v>2.6914009616290854E-3</v>
      </c>
      <c r="BF33" s="45">
        <f>(AB21*$B$8+Y42*$B$9 + AB22+Y43)/1000</f>
        <v>1.9485968716590328E-4</v>
      </c>
      <c r="BG33" s="60" t="s">
        <v>146</v>
      </c>
      <c r="BH33" s="60" t="s">
        <v>146</v>
      </c>
      <c r="BI33" s="69" t="s">
        <v>146</v>
      </c>
    </row>
    <row r="34" spans="22:61" ht="15.75" thickBot="1">
      <c r="V34" s="50" t="s">
        <v>166</v>
      </c>
      <c r="W34" s="47">
        <f>$CM$14</f>
        <v>17.36640800154807</v>
      </c>
      <c r="X34" s="47">
        <f>$CM$14</f>
        <v>17.36640800154807</v>
      </c>
      <c r="Y34" s="47">
        <f>$CM$14</f>
        <v>17.36640800154807</v>
      </c>
      <c r="Z34" s="47"/>
      <c r="AA34" s="47"/>
      <c r="AB34" s="47"/>
      <c r="AC34" s="47">
        <f>$CM$14</f>
        <v>17.36640800154807</v>
      </c>
      <c r="AD34" s="15"/>
      <c r="AE34" s="15"/>
      <c r="AF34" s="15"/>
      <c r="AG34" s="15"/>
      <c r="AH34" s="15"/>
      <c r="AI34" s="15"/>
      <c r="AK34" s="84" t="str">
        <f>$V$77</f>
        <v>Drip irrigation</v>
      </c>
      <c r="AL34" s="73">
        <f>(W21*$B$8+ W22)/1000</f>
        <v>9.4093168894758578E-2</v>
      </c>
      <c r="AM34" s="74"/>
      <c r="AN34" s="74"/>
      <c r="AO34" s="74"/>
      <c r="AP34" s="74"/>
      <c r="AQ34" s="74"/>
      <c r="AR34" s="74"/>
      <c r="AS34" s="74"/>
      <c r="AT34" s="74"/>
      <c r="AU34" s="74">
        <f>(X21*$B$8 + X22)/1000</f>
        <v>5.1860320667467034E-2</v>
      </c>
      <c r="AV34" s="74">
        <f>(Y21*$B$8 + Y22)/1000</f>
        <v>2.8131937433180654E-3</v>
      </c>
      <c r="AW34" s="74" t="s">
        <v>146</v>
      </c>
      <c r="AX34" s="74" t="s">
        <v>146</v>
      </c>
      <c r="AY34" s="73">
        <f>(Z21*$B$8 + Z22)/1000</f>
        <v>2.7205659634817604E-3</v>
      </c>
      <c r="AZ34" s="75">
        <f>(AA21*$B$8 + AA22)/1000</f>
        <v>2.6372009616290851E-3</v>
      </c>
      <c r="BA34" s="73">
        <f>(AB21*$B$8 + AB22)/1000</f>
        <v>1.4065968716590326E-4</v>
      </c>
      <c r="BB34" s="74" t="s">
        <v>146</v>
      </c>
      <c r="BC34" s="74" t="s">
        <v>146</v>
      </c>
      <c r="BD34" s="74" t="s">
        <v>146</v>
      </c>
      <c r="BE34" s="74" t="s">
        <v>146</v>
      </c>
      <c r="BF34" s="74" t="s">
        <v>146</v>
      </c>
      <c r="BG34" s="74" t="s">
        <v>146</v>
      </c>
      <c r="BH34" s="74" t="s">
        <v>146</v>
      </c>
      <c r="BI34" s="76" t="s">
        <v>146</v>
      </c>
    </row>
    <row r="35" spans="22:61" ht="15">
      <c r="V35" s="50" t="s">
        <v>167</v>
      </c>
      <c r="W35" s="51">
        <f>W34*0.2</f>
        <v>3.4732816003096141</v>
      </c>
      <c r="X35" s="51">
        <f t="shared" ref="X35:Y35" si="9">X34*0.2</f>
        <v>3.4732816003096141</v>
      </c>
      <c r="Y35" s="51">
        <f t="shared" si="9"/>
        <v>3.4732816003096141</v>
      </c>
      <c r="Z35" s="51"/>
      <c r="AA35" s="51"/>
      <c r="AB35" s="51"/>
      <c r="AC35" s="51">
        <f t="shared" ref="AC35" si="10">AC34*0.2</f>
        <v>3.4732816003096141</v>
      </c>
      <c r="AD35" s="6"/>
      <c r="AE35" s="6"/>
      <c r="AF35" s="6"/>
      <c r="AG35" s="6"/>
      <c r="AH35" s="6"/>
      <c r="AI35" s="6"/>
    </row>
    <row r="36" spans="22:61" ht="15.75" thickBot="1">
      <c r="V36" s="50" t="s">
        <v>168</v>
      </c>
      <c r="W36" s="47">
        <f>CN14+CP14+CR14</f>
        <v>466.66945727051257</v>
      </c>
      <c r="X36" s="47">
        <f>CN14+CQ14+CR14</f>
        <v>179.80642414799121</v>
      </c>
      <c r="Y36" s="47">
        <f>CO14+CQ14+CR14</f>
        <v>11.814725538644776</v>
      </c>
      <c r="Z36" s="47"/>
      <c r="AA36" s="47"/>
      <c r="AB36" s="47"/>
      <c r="AC36" s="47">
        <f>CO14+CQ14*0.05+CR14*0.5</f>
        <v>4.6064036260142895</v>
      </c>
      <c r="AD36" s="15"/>
      <c r="AE36" s="15"/>
      <c r="AF36" s="15"/>
      <c r="AG36" s="15"/>
      <c r="AH36" s="15"/>
      <c r="AI36" s="15"/>
    </row>
    <row r="37" spans="22:61" ht="165">
      <c r="V37" s="50" t="s">
        <v>169</v>
      </c>
      <c r="W37" s="47">
        <f>$CS$14</f>
        <v>2.6586428493723506</v>
      </c>
      <c r="X37" s="47">
        <f>$CS$14</f>
        <v>2.6586428493723506</v>
      </c>
      <c r="Y37" s="47">
        <f>$CS$14</f>
        <v>2.6586428493723506</v>
      </c>
      <c r="Z37" s="47"/>
      <c r="AA37" s="47"/>
      <c r="AB37" s="47"/>
      <c r="AC37" s="47">
        <f>$CS$14</f>
        <v>2.6586428493723506</v>
      </c>
      <c r="AD37" s="15"/>
      <c r="AE37" s="15"/>
      <c r="AF37" s="15"/>
      <c r="AG37" s="15"/>
      <c r="AH37" s="15"/>
      <c r="AI37" s="15"/>
      <c r="AK37" s="65" t="s">
        <v>90</v>
      </c>
      <c r="AL37" s="66" t="s">
        <v>101</v>
      </c>
      <c r="AM37" s="66"/>
      <c r="AN37" s="66"/>
      <c r="AO37" s="66"/>
      <c r="AP37" s="66"/>
      <c r="AQ37" s="66"/>
      <c r="AR37" s="66"/>
      <c r="AS37" s="66"/>
      <c r="AT37" s="66"/>
      <c r="AU37" s="66" t="s">
        <v>124</v>
      </c>
      <c r="AV37" s="66" t="s">
        <v>125</v>
      </c>
      <c r="AW37" s="66" t="s">
        <v>126</v>
      </c>
      <c r="AX37" s="66" t="s">
        <v>127</v>
      </c>
      <c r="AY37" s="66" t="s">
        <v>128</v>
      </c>
      <c r="AZ37" s="66" t="s">
        <v>129</v>
      </c>
      <c r="BA37" s="66" t="s">
        <v>130</v>
      </c>
      <c r="BB37" s="66" t="s">
        <v>131</v>
      </c>
      <c r="BC37" s="66" t="s">
        <v>132</v>
      </c>
      <c r="BD37" s="66" t="s">
        <v>133</v>
      </c>
      <c r="BE37" s="66" t="s">
        <v>134</v>
      </c>
      <c r="BF37" s="66" t="s">
        <v>135</v>
      </c>
      <c r="BG37" s="66" t="s">
        <v>136</v>
      </c>
      <c r="BH37" s="66" t="s">
        <v>137</v>
      </c>
      <c r="BI37" s="67" t="s">
        <v>138</v>
      </c>
    </row>
    <row r="38" spans="22:61" ht="15">
      <c r="V38" s="50" t="s">
        <v>170</v>
      </c>
      <c r="W38" s="51">
        <f>W37*0.2</f>
        <v>0.53172856987447015</v>
      </c>
      <c r="X38" s="51">
        <f t="shared" ref="X38:Y38" si="11">X37*0.2</f>
        <v>0.53172856987447015</v>
      </c>
      <c r="Y38" s="51">
        <f t="shared" si="11"/>
        <v>0.53172856987447015</v>
      </c>
      <c r="Z38" s="51"/>
      <c r="AA38" s="51"/>
      <c r="AB38" s="51"/>
      <c r="AC38" s="51">
        <f t="shared" ref="AC38" si="12">AC37*0.2</f>
        <v>0.53172856987447015</v>
      </c>
      <c r="AD38" s="6"/>
      <c r="AE38" s="6"/>
      <c r="AF38" s="6"/>
      <c r="AG38" s="6"/>
      <c r="AH38" s="6"/>
      <c r="AI38" s="6"/>
      <c r="AK38" s="68" t="str">
        <f t="shared" ref="AK38:AK47" si="13">V66</f>
        <v>Tractor mounted boom sprayer</v>
      </c>
      <c r="AL38" s="60">
        <f>(W21*$B$8+W30*$B$9 + W23+W31)/1000</f>
        <v>9.9990976678211121E-2</v>
      </c>
      <c r="AM38" s="60"/>
      <c r="AN38" s="60"/>
      <c r="AO38" s="60"/>
      <c r="AP38" s="60"/>
      <c r="AQ38" s="60"/>
      <c r="AR38" s="60"/>
      <c r="AS38" s="60"/>
      <c r="AT38" s="60"/>
      <c r="AU38" s="60">
        <f>(X21*$B$8+X30*$B$9 + X23+X31)/1000</f>
        <v>5.5338391973812462E-2</v>
      </c>
      <c r="AV38" s="60">
        <f>(Y21*$B$8+X30*$B$9 + Y23+X31)/1000</f>
        <v>6.2912650496634911E-3</v>
      </c>
      <c r="AW38" s="60">
        <f>(X21*$B$8+Y30*$B$9 + X23+Y31)/1000</f>
        <v>5.4526384799619639E-2</v>
      </c>
      <c r="AX38" s="60">
        <f>(Y21*$B$8+Y30*$B$9 + Y23+Y31)/1000</f>
        <v>5.479257875470666E-3</v>
      </c>
      <c r="AY38" s="45">
        <f>(Z21*$B$8+X30*$B$9 + Z23+X31)/1000</f>
        <v>6.1986372698271865E-3</v>
      </c>
      <c r="AZ38" s="45">
        <f>(AA21*$B$8+X30*$B$9 + AA23+X31)/1000</f>
        <v>6.1152722679745112E-3</v>
      </c>
      <c r="BA38" s="45">
        <f>(AB21*$B$8+X30*$B$9 + AB23+X31)/1000</f>
        <v>5.0287227328545394E-3</v>
      </c>
      <c r="BB38" s="60">
        <f>(X21*$B$8+AC30*$B$9 + X23+AC31)/1000</f>
        <v>5.4402752548182873E-2</v>
      </c>
      <c r="BC38" s="60">
        <f>(Y21*$B$8+AC30*$B$9 + Y23+AC31)/1000</f>
        <v>5.3556256240339028E-3</v>
      </c>
      <c r="BD38" s="45">
        <f>(Z21*$B$8+Y30*$B$9 + Z23+Y31)/1000</f>
        <v>5.3866300956343614E-3</v>
      </c>
      <c r="BE38" s="45">
        <f>(AA21*$B$8+Y30*$B$9 + AA23+Y31)/1000</f>
        <v>5.3032650937816861E-3</v>
      </c>
      <c r="BF38" s="45">
        <f>(AB21*$B$8+Y30*$B$9 + AB23+Y31)/1000</f>
        <v>4.2167155586617152E-3</v>
      </c>
      <c r="BG38" s="60">
        <f>(Z21*$B$8+AC30*$B$9 + Z23+AC31)/1000</f>
        <v>5.2629978441975974E-3</v>
      </c>
      <c r="BH38" s="60">
        <f>(AA21*$B$8+AC30*$B$9 + AA23+AC31)/1000</f>
        <v>5.1796328423449221E-3</v>
      </c>
      <c r="BI38" s="69">
        <f>(AB21*$B$8+AC30*$B$9 + AB23+AC31)/1000</f>
        <v>4.0930833072249512E-3</v>
      </c>
    </row>
    <row r="39" spans="22:61" ht="15">
      <c r="V39" s="50" t="s">
        <v>171</v>
      </c>
      <c r="W39" s="47">
        <f>CT14</f>
        <v>26507.575069269969</v>
      </c>
      <c r="X39" s="47">
        <f>CU14</f>
        <v>2512.5227336366443</v>
      </c>
      <c r="Y39" s="47">
        <f>CV14</f>
        <v>1331.9563725311866</v>
      </c>
      <c r="Z39" s="47"/>
      <c r="AA39" s="47"/>
      <c r="AB39" s="47"/>
      <c r="AC39" s="47">
        <f>CV14*0.05</f>
        <v>66.597818626559331</v>
      </c>
      <c r="AD39" s="15"/>
      <c r="AE39" s="15"/>
      <c r="AF39" s="15"/>
      <c r="AG39" s="15"/>
      <c r="AH39" s="15"/>
      <c r="AI39" s="15"/>
      <c r="AK39" s="68" t="str">
        <f t="shared" si="13"/>
        <v>Airblast without cabin</v>
      </c>
      <c r="AL39" s="60">
        <f>(W21*$B$8+W33*$B$9 + W23+W34)/1000</f>
        <v>0.5073163760711874</v>
      </c>
      <c r="AM39" s="60"/>
      <c r="AN39" s="60"/>
      <c r="AO39" s="60"/>
      <c r="AP39" s="60"/>
      <c r="AQ39" s="60"/>
      <c r="AR39" s="60"/>
      <c r="AS39" s="60"/>
      <c r="AT39" s="60"/>
      <c r="AU39" s="60">
        <f>(X21*$B$8+X33*$B$9 + X23+X34)/1000</f>
        <v>0.20418133159498608</v>
      </c>
      <c r="AV39" s="60">
        <f>(Y21*$B$8+X33*$B$9 + Y23+X34)/1000</f>
        <v>0.15513420467083713</v>
      </c>
      <c r="AW39" s="60">
        <f>(X21*$B$8+Y33*$B$9 + X23+Y34)/1000</f>
        <v>0.10698718261298863</v>
      </c>
      <c r="AX39" s="60">
        <f>(Y21*$B$8+Y33*$B$9 + Y23+Y34)/1000</f>
        <v>5.7940055688839677E-2</v>
      </c>
      <c r="AY39" s="45">
        <f>(Z21*$B$8+X33*$B$9 + Z23+X34)/1000</f>
        <v>0.15504157689100084</v>
      </c>
      <c r="AZ39" s="45">
        <f>(AA21*$B$8+X33*$B$9 + AA23+X34)/1000</f>
        <v>0.15495821188914816</v>
      </c>
      <c r="BA39" s="45">
        <f>(AB21*$B$8+X33*$B$9 + AB23+X34)/1000</f>
        <v>0.15387166235402816</v>
      </c>
      <c r="BB39" s="60">
        <f>(X21*$B$8+AC33*$B$9 + X23+AC34)/1000</f>
        <v>8.6340589628159686E-2</v>
      </c>
      <c r="BC39" s="60">
        <f>(Y21*$B$8+AC33*$B$9 + Y23+AC34)/1000</f>
        <v>3.7293462704010724E-2</v>
      </c>
      <c r="BD39" s="45">
        <f>(Z21*$B$8+Y33*$B$9 + Z23+Y34)/1000</f>
        <v>5.7847427909003372E-2</v>
      </c>
      <c r="BE39" s="45">
        <f>(AA21*$B$8+Y33*$B$9 + AA23+Y34)/1000</f>
        <v>5.7764062907150686E-2</v>
      </c>
      <c r="BF39" s="45">
        <f>(AB21*$B$8+Y33*$B$9 + AB23+Y34)/1000</f>
        <v>5.6677513372030718E-2</v>
      </c>
      <c r="BG39" s="60">
        <f>(Z21*$B$8+AC33*$B$9 + Z23+AC34)/1000</f>
        <v>3.7200834924174413E-2</v>
      </c>
      <c r="BH39" s="60">
        <f>(AA21*$B$8+AC33*$B$9 + AA23+AC34)/1000</f>
        <v>3.7117469922321747E-2</v>
      </c>
      <c r="BI39" s="69">
        <f>(AB21*$B$8+AC33*$B$9 + AB23+AC34)/1000</f>
        <v>3.6030920387201772E-2</v>
      </c>
    </row>
    <row r="40" spans="22:61" ht="15">
      <c r="V40" s="50" t="s">
        <v>172</v>
      </c>
      <c r="W40" s="47">
        <f>$CW$14</f>
        <v>14.352250307811493</v>
      </c>
      <c r="X40" s="47">
        <f>$CW$14</f>
        <v>14.352250307811493</v>
      </c>
      <c r="Y40" s="47">
        <f>$CW$14</f>
        <v>14.352250307811493</v>
      </c>
      <c r="Z40" s="47"/>
      <c r="AA40" s="47"/>
      <c r="AB40" s="47"/>
      <c r="AC40" s="47">
        <f>$CW$14</f>
        <v>14.352250307811493</v>
      </c>
      <c r="AD40" s="15"/>
      <c r="AE40" s="15"/>
      <c r="AF40" s="15"/>
      <c r="AG40" s="15"/>
      <c r="AH40" s="15"/>
      <c r="AI40" s="15"/>
      <c r="AK40" s="68" t="str">
        <f t="shared" si="13"/>
        <v>Airblast with cabin</v>
      </c>
      <c r="AL40" s="60">
        <f>(W21*$B$8+W36*$B$9 + W23+W37)/1000</f>
        <v>0.23526844709439712</v>
      </c>
      <c r="AM40" s="60"/>
      <c r="AN40" s="60"/>
      <c r="AO40" s="60"/>
      <c r="AP40" s="60"/>
      <c r="AQ40" s="60"/>
      <c r="AR40" s="60"/>
      <c r="AS40" s="60"/>
      <c r="AT40" s="60"/>
      <c r="AU40" s="60">
        <f>(X21*$B$8+X36*$B$9 + X23+X37)/1000</f>
        <v>0.10697668893034916</v>
      </c>
      <c r="AV40" s="60">
        <f>(Y21*$B$8+X36*$B$9 + Y23+X37)/1000</f>
        <v>5.792956200620019E-2</v>
      </c>
      <c r="AW40" s="60">
        <f>(X21*$B$8+Y36*$B$9 + X23+Y37)/1000</f>
        <v>5.6579179347545236E-2</v>
      </c>
      <c r="AX40" s="60">
        <f>(Y21*$B$8+Y36*$B$9 + Y23+Y37)/1000</f>
        <v>7.532052423396259E-3</v>
      </c>
      <c r="AY40" s="45">
        <f>(Z21*$B$8+X36*$B$9 + Z23+X37)/1000</f>
        <v>5.7836934226363886E-2</v>
      </c>
      <c r="AZ40" s="45">
        <f>(AA21*$B$8+X36*$B$9 + AA23+X37)/1000</f>
        <v>5.7753569224511213E-2</v>
      </c>
      <c r="BA40" s="45">
        <f>(AB21*$B$8+X36*$B$9 + AB23+X37)/1000</f>
        <v>5.6667019689391238E-2</v>
      </c>
      <c r="BB40" s="60">
        <f>(X21*$B$8+AC36*$B$9 + X23+AC37)/1000</f>
        <v>5.4416682773756088E-2</v>
      </c>
      <c r="BC40" s="60">
        <f>(Y21*$B$8+AC36*$B$9 + Y23+AC37)/1000</f>
        <v>5.3695558496071136E-3</v>
      </c>
      <c r="BD40" s="45">
        <f>(Z21*$B$8+Y36*$B$9 + Z23+Y37)/1000</f>
        <v>7.4394246435599536E-3</v>
      </c>
      <c r="BE40" s="45">
        <f>(AA21*$B$8+Y36*$B$9 + AA23+Y37)/1000</f>
        <v>7.3560596417072783E-3</v>
      </c>
      <c r="BF40" s="45">
        <f>(AB21*$B$8+Y36*$B$9 + AB23+Y37)/1000</f>
        <v>6.2695101065873074E-3</v>
      </c>
      <c r="BG40" s="60">
        <f>(Z21*$B$8+AC36*$B$9 + Z23+AC37)/1000</f>
        <v>5.2769280697708082E-3</v>
      </c>
      <c r="BH40" s="60">
        <f>(AA21*$B$8+AC36*$B$9 + AA23+AC37)/1000</f>
        <v>5.1935630679181338E-3</v>
      </c>
      <c r="BI40" s="69">
        <f>(AB21*$B$8+AC36*$B$9 + AB23+AC37)/1000</f>
        <v>4.1070135327981611E-3</v>
      </c>
    </row>
    <row r="41" spans="22:61" ht="15">
      <c r="V41" s="50" t="s">
        <v>173</v>
      </c>
      <c r="W41" s="51">
        <f>W40*0.2</f>
        <v>2.8704500615622988</v>
      </c>
      <c r="X41" s="51">
        <f t="shared" ref="X41:Y41" si="14">X40*0.2</f>
        <v>2.8704500615622988</v>
      </c>
      <c r="Y41" s="51">
        <f t="shared" si="14"/>
        <v>2.8704500615622988</v>
      </c>
      <c r="Z41" s="51"/>
      <c r="AA41" s="51"/>
      <c r="AB41" s="51"/>
      <c r="AC41" s="51">
        <f t="shared" ref="AC41" si="15">AC40*0.2</f>
        <v>2.8704500615622988</v>
      </c>
      <c r="AD41" s="6"/>
      <c r="AE41" s="6"/>
      <c r="AF41" s="6"/>
      <c r="AG41" s="6"/>
      <c r="AH41" s="6"/>
      <c r="AI41" s="6"/>
      <c r="AK41" s="68" t="str">
        <f t="shared" si="13"/>
        <v>Handheld - normal crop - Lance Tank</v>
      </c>
      <c r="AL41" s="60">
        <f>(W21*$B$8+W39*$B$9 + W23+W40)/1000</f>
        <v>8.059233738152674</v>
      </c>
      <c r="AM41" s="60"/>
      <c r="AN41" s="60"/>
      <c r="AO41" s="60"/>
      <c r="AP41" s="60"/>
      <c r="AQ41" s="60"/>
      <c r="AR41" s="60"/>
      <c r="AS41" s="60"/>
      <c r="AT41" s="60"/>
      <c r="AU41" s="60">
        <f>(X21*$B$8+X39*$B$9 + X23+X40)/1000</f>
        <v>0.81848518923538427</v>
      </c>
      <c r="AV41" s="60">
        <f>(Y21*$B$8+X39*$B$9 + Y23+X40)/1000</f>
        <v>0.76943806231123524</v>
      </c>
      <c r="AW41" s="60">
        <f>(X21*$B$8+Y39*$B$9 + X23+Y40)/1000</f>
        <v>0.46431528090374696</v>
      </c>
      <c r="AX41" s="60">
        <f>(Y21*$B$8+Y39*$B$9 + Y23+Y40)/1000</f>
        <v>0.41526815397959799</v>
      </c>
      <c r="AY41" s="45">
        <f>(Z21*$B$8+X39*$B$9 + Z23+X40)/1000</f>
        <v>0.76934543453139892</v>
      </c>
      <c r="AZ41" s="45">
        <f>(AA21*$B$8+X39*$B$9 + AA23+X40)/1000</f>
        <v>0.76926206952954623</v>
      </c>
      <c r="BA41" s="45">
        <f>(AB21*$B$8+X39*$B$9 + AB23+X40)/1000</f>
        <v>0.76817551999442624</v>
      </c>
      <c r="BB41" s="60">
        <f>(X21*$B$8+AC39*$B$9 + X23+AC40)/1000</f>
        <v>8.4707714732358719E-2</v>
      </c>
      <c r="BC41" s="60">
        <f>(Y21*$B$8+AC39*$B$9 + Y23+AC40)/1000</f>
        <v>3.566058780820977E-2</v>
      </c>
      <c r="BD41" s="45">
        <f>(Z21*$B$8+Y39*$B$9 + Z23+Y40)/1000</f>
        <v>0.41517552619976161</v>
      </c>
      <c r="BE41" s="45">
        <f>(AA21*$B$8+Y39*$B$9 + AA23+Y40)/1000</f>
        <v>0.41509216119790898</v>
      </c>
      <c r="BF41" s="45">
        <f>(AB21*$B$8+Y39*$B$9 + AB23+Y40)/1000</f>
        <v>0.41400561166278904</v>
      </c>
      <c r="BG41" s="60">
        <f>(Z21*$B$8+AC39*$B$9 + Z23+AC40)/1000</f>
        <v>3.5567960028373466E-2</v>
      </c>
      <c r="BH41" s="60">
        <f>(AA21*$B$8+AC39*$B$9 + AA23+AC40)/1000</f>
        <v>3.5484595026520786E-2</v>
      </c>
      <c r="BI41" s="69">
        <f>(AB21*$B$8+AC39*$B$9 + AB23+AC40)/1000</f>
        <v>3.4398045491400818E-2</v>
      </c>
    </row>
    <row r="42" spans="22:61" ht="15">
      <c r="V42" s="50" t="s">
        <v>174</v>
      </c>
      <c r="W42" s="51">
        <f>X42/0.05</f>
        <v>9.18</v>
      </c>
      <c r="X42" s="51">
        <f>DN14</f>
        <v>0.45900000000000002</v>
      </c>
      <c r="Y42" s="51">
        <f>DO14</f>
        <v>0.17700000000000002</v>
      </c>
      <c r="Z42" s="47"/>
      <c r="AA42" s="47"/>
      <c r="AB42" s="47"/>
      <c r="AC42" s="47"/>
      <c r="AD42" s="15"/>
      <c r="AE42" s="15"/>
      <c r="AF42" s="15"/>
      <c r="AG42" s="15"/>
      <c r="AH42" s="15"/>
      <c r="AI42" s="15"/>
      <c r="AK42" s="68" t="str">
        <f t="shared" si="13"/>
        <v>Handheld - normal crop - Knapsack</v>
      </c>
      <c r="AL42" s="60">
        <f>(W24*$B$8+W39*$B$9 + W26+W40)/1000</f>
        <v>8.5898047710888026</v>
      </c>
      <c r="AM42" s="60"/>
      <c r="AN42" s="60"/>
      <c r="AO42" s="60"/>
      <c r="AP42" s="60"/>
      <c r="AQ42" s="60"/>
      <c r="AR42" s="60"/>
      <c r="AS42" s="60"/>
      <c r="AT42" s="60"/>
      <c r="AU42" s="60">
        <f>(X24*$B$8+X39*$B$9 + X26+X40)/1000</f>
        <v>1.3446090703988047</v>
      </c>
      <c r="AV42" s="60">
        <f>(Y24*$B$8+X39*$B$9 + Y26+X40)/1000</f>
        <v>0.77598907039880471</v>
      </c>
      <c r="AW42" s="60">
        <f>(X24*$B$8+Y39*$B$9 + X26+Y40)/1000</f>
        <v>0.99043916206716742</v>
      </c>
      <c r="AX42" s="60">
        <f>(Y24*$B$8+Y39*$B$9 + Y26+Y40)/1000</f>
        <v>0.42181916206716752</v>
      </c>
      <c r="AY42" s="45">
        <f>(Z24*$B$8+X39*$B$9 + Z26+X40)/1000</f>
        <v>0.7752390703988048</v>
      </c>
      <c r="AZ42" s="45">
        <f>(AA24*$B$8+X39*$B$9 + AA26+X40)/1000</f>
        <v>0.77456407039880482</v>
      </c>
      <c r="BA42" s="45" t="s">
        <v>146</v>
      </c>
      <c r="BB42" s="60">
        <f>(X24*$B$8+AC39*$B$9 + X26+AC40)/1000</f>
        <v>0.61083159589577929</v>
      </c>
      <c r="BC42" s="60">
        <f>(Y24*$B$8+AC39*$B$9 + Y26+AC40)/1000</f>
        <v>4.2211595895779289E-2</v>
      </c>
      <c r="BD42" s="45">
        <f>(Z24*$B$8+Y39*$B$9 + Z26+Y40)/1000</f>
        <v>0.42106916206716749</v>
      </c>
      <c r="BE42" s="45">
        <f>(AA24*$B$8+Y39*$B$9 + AA26+Y40)/1000</f>
        <v>0.42039416206716751</v>
      </c>
      <c r="BF42" s="45" t="s">
        <v>146</v>
      </c>
      <c r="BG42" s="60">
        <f>(Z24*$B$8+AC39*$B$9 + Z26+AC40)/1000</f>
        <v>4.1461595895779288E-2</v>
      </c>
      <c r="BH42" s="60">
        <f>(AA24*$B$8+AC39*$B$9 + AA26+AC40)/1000</f>
        <v>4.0786595895779293E-2</v>
      </c>
      <c r="BI42" s="69" t="s">
        <v>146</v>
      </c>
    </row>
    <row r="43" spans="22:61" ht="15">
      <c r="V43" s="50" t="s">
        <v>175</v>
      </c>
      <c r="W43" s="51">
        <f>$DP$14</f>
        <v>1.1000000000000001E-3</v>
      </c>
      <c r="X43" s="51">
        <f>$DP$14</f>
        <v>1.1000000000000001E-3</v>
      </c>
      <c r="Y43" s="51">
        <f>$DP$14</f>
        <v>1.1000000000000001E-3</v>
      </c>
      <c r="Z43" s="51"/>
      <c r="AA43" s="51"/>
      <c r="AB43" s="51"/>
      <c r="AC43" s="51"/>
      <c r="AD43" s="6"/>
      <c r="AE43" s="6"/>
      <c r="AF43" s="6"/>
      <c r="AG43" s="6"/>
      <c r="AH43" s="6"/>
      <c r="AI43" s="6"/>
      <c r="AK43" s="68" t="str">
        <f t="shared" si="13"/>
        <v>Handheld - normal crop - Powerblaster/motorized Knapsack</v>
      </c>
      <c r="AL43" s="60">
        <f>(W24*$B$8+W39*$B$9 + W26+W40)/1000</f>
        <v>8.5898047710888026</v>
      </c>
      <c r="AM43" s="60"/>
      <c r="AN43" s="60"/>
      <c r="AO43" s="60"/>
      <c r="AP43" s="60"/>
      <c r="AQ43" s="60"/>
      <c r="AR43" s="60"/>
      <c r="AS43" s="60"/>
      <c r="AT43" s="60"/>
      <c r="AU43" s="60">
        <f>(X24*$B$8+X39*$B$9 + X26+X40)/1000</f>
        <v>1.3446090703988047</v>
      </c>
      <c r="AV43" s="60">
        <f>(Y24*$B$8+X39*$B$9 + Y26+X40)/1000</f>
        <v>0.77598907039880471</v>
      </c>
      <c r="AW43" s="60">
        <f>(X24*$B$8+Y39*$B$9 + X26+Y40)/1000</f>
        <v>0.99043916206716742</v>
      </c>
      <c r="AX43" s="60">
        <f>(Y24*$B$8+Y39*$B$9 + Y26+Y40)/1000</f>
        <v>0.42181916206716752</v>
      </c>
      <c r="AY43" s="45">
        <f>(Z24*$B$8+X39*$B$9 + Z26+X40)/1000</f>
        <v>0.7752390703988048</v>
      </c>
      <c r="AZ43" s="45">
        <f>(AA24*$B$8+X39*$B$9 + AA26+X40)/1000</f>
        <v>0.77456407039880482</v>
      </c>
      <c r="BA43" s="45" t="s">
        <v>146</v>
      </c>
      <c r="BB43" s="60">
        <f>(X24*$B$8+AC39*$B$9 + X26+AC40)/1000</f>
        <v>0.61083159589577929</v>
      </c>
      <c r="BC43" s="60">
        <f>(Y24*$B$8+AC39*$B$9 + Y26+AC40)/1000</f>
        <v>4.2211595895779289E-2</v>
      </c>
      <c r="BD43" s="45">
        <f>(Z24*$B$8+Y39*$B$9 + Z26+Y40)/1000</f>
        <v>0.42106916206716749</v>
      </c>
      <c r="BE43" s="45">
        <f>(AA24*$B$8+Y39*$B$9 + AA26+Y40)/1000</f>
        <v>0.42039416206716751</v>
      </c>
      <c r="BF43" s="45" t="s">
        <v>146</v>
      </c>
      <c r="BG43" s="60">
        <f>(Z24*$B$8+AC39*$B$9 + Z26+AC40)/1000</f>
        <v>4.1461595895779288E-2</v>
      </c>
      <c r="BH43" s="60">
        <f>(AA24*$B$8+AC39*$B$9 + AA26+AC40)/1000</f>
        <v>4.0786595895779293E-2</v>
      </c>
      <c r="BI43" s="69" t="s">
        <v>146</v>
      </c>
    </row>
    <row r="44" spans="22:61" ht="15">
      <c r="V44" s="50" t="s">
        <v>176</v>
      </c>
      <c r="W44" s="52">
        <f>W43*0.2</f>
        <v>2.2000000000000003E-4</v>
      </c>
      <c r="X44" s="52">
        <f t="shared" ref="X44:Y44" si="16">X43*0.2</f>
        <v>2.2000000000000003E-4</v>
      </c>
      <c r="Y44" s="52">
        <f t="shared" si="16"/>
        <v>2.2000000000000003E-4</v>
      </c>
      <c r="Z44" s="52"/>
      <c r="AA44" s="52"/>
      <c r="AB44" s="52"/>
      <c r="AC44" s="52"/>
      <c r="AD44" s="28"/>
      <c r="AE44" s="28"/>
      <c r="AF44" s="28"/>
      <c r="AG44" s="28"/>
      <c r="AH44" s="28"/>
      <c r="AI44" s="28"/>
      <c r="AK44" s="68" t="str">
        <f t="shared" si="13"/>
        <v>Handheld - dense crop - downwards -  Lance Tank</v>
      </c>
      <c r="AL44" s="45">
        <f>(W21*$B$8+W51*$B$9 + W23+W52)/1000</f>
        <v>13.99473373815267</v>
      </c>
      <c r="AM44" s="45"/>
      <c r="AN44" s="45"/>
      <c r="AO44" s="45"/>
      <c r="AP44" s="45"/>
      <c r="AQ44" s="45"/>
      <c r="AR44" s="45"/>
      <c r="AS44" s="45"/>
      <c r="AT44" s="45"/>
      <c r="AU44" s="45">
        <f>(X21*$B$8+X51*$B$9 + X23+X52)/1000</f>
        <v>2.2365851892353845</v>
      </c>
      <c r="AV44" s="45">
        <f>(Y21*$B$8+X51*$B$9 + Y23+X52)/1000</f>
        <v>2.1875380623112353</v>
      </c>
      <c r="AW44" s="45">
        <f>(X21*$B$8+Y51*$B$9 + X23+Y52)/1000</f>
        <v>1.8824152809037467</v>
      </c>
      <c r="AX44" s="45">
        <f>(Y21*$B$8+Y51*$B$9 + Y23+Y52)/1000</f>
        <v>1.8333681539795978</v>
      </c>
      <c r="AY44" s="45">
        <f>(Z21*$B$8+X51*$B$9 + Z23+X52)/1000</f>
        <v>2.1874454345313987</v>
      </c>
      <c r="AZ44" s="45">
        <f>(AA21*$B$8+X51*$B$9 + AA23+X52)/1000</f>
        <v>2.1873620695295464</v>
      </c>
      <c r="BA44" s="45">
        <f>(AB21*$B$8+X51*$B$9 + AB23+X52)/1000</f>
        <v>2.1862755199944264</v>
      </c>
      <c r="BB44" s="45">
        <f>(X21*$B$8+AC51*$B$9 + X23+AC52)/1000</f>
        <v>0.15561271473235874</v>
      </c>
      <c r="BC44" s="45">
        <f>(Y21*$B$8+AC51*$B$9 + Y23+AC52)/1000</f>
        <v>0.10656558780820975</v>
      </c>
      <c r="BD44" s="45">
        <f>(Z21*$B$8+Y51*$B$9 + Z23+Y52)/1000</f>
        <v>1.8332755261997615</v>
      </c>
      <c r="BE44" s="45">
        <f>(AA21*$B$8+Y51*$B$9 + AA23+Y52)/1000</f>
        <v>1.8331921611979087</v>
      </c>
      <c r="BF44" s="45">
        <f>(AB21*$B$8+Y51*$B$9 + AB23+Y52)/1000</f>
        <v>1.8321056116627887</v>
      </c>
      <c r="BG44" s="45">
        <f>(Z21*$B$8+AC51*$B$9 + Z23+AC52)/1000</f>
        <v>0.10647296002837345</v>
      </c>
      <c r="BH44" s="45">
        <f>(AA21*$B$8+AC51*$B$9 + AA23+AC52)/1000</f>
        <v>0.10638959502652078</v>
      </c>
      <c r="BI44" s="70">
        <f>(AB21*$B$8+AC51*$B$9 + AB23+AC52)/1000</f>
        <v>0.10530304549140081</v>
      </c>
    </row>
    <row r="45" spans="22:61" ht="15">
      <c r="V45" s="50" t="s">
        <v>177</v>
      </c>
      <c r="W45" s="47">
        <f>DH14/0.01</f>
        <v>219</v>
      </c>
      <c r="X45" s="47">
        <f>DH14</f>
        <v>2.19</v>
      </c>
      <c r="Y45" s="47">
        <f>DI14</f>
        <v>1.587</v>
      </c>
      <c r="Z45" s="45"/>
      <c r="AA45" s="45"/>
      <c r="AB45" s="45"/>
      <c r="AC45" s="45">
        <f>DI14*0.05</f>
        <v>7.9350000000000004E-2</v>
      </c>
      <c r="AK45" s="68" t="str">
        <f t="shared" si="13"/>
        <v>Handheld - dense crop - downwards -  (motorized) Knapsack</v>
      </c>
      <c r="AL45" s="60">
        <f>(W24*$B$8+W51*$B$9 + W26+W52)/1000</f>
        <v>14.5253047710888</v>
      </c>
      <c r="AM45" s="60"/>
      <c r="AN45" s="60"/>
      <c r="AO45" s="60"/>
      <c r="AP45" s="60"/>
      <c r="AQ45" s="60"/>
      <c r="AR45" s="60"/>
      <c r="AS45" s="60"/>
      <c r="AT45" s="60"/>
      <c r="AU45" s="60">
        <f>(X24*$B$8+X51*$B$9 + X26+X52)/1000</f>
        <v>2.7627090703988046</v>
      </c>
      <c r="AV45" s="60">
        <f>(Y24*$B$8+X51*$B$9 + Y26+X52)/1000</f>
        <v>2.194089070398805</v>
      </c>
      <c r="AW45" s="60">
        <f>(X24*$B$8+Y51*$B$9 + X26+Y52)/1000</f>
        <v>2.4085391620671674</v>
      </c>
      <c r="AX45" s="60">
        <f>(Y24*$B$8+Y51*$B$9 + Y26+Y52)/1000</f>
        <v>1.8399191620671675</v>
      </c>
      <c r="AY45" s="45">
        <f>(Z24*$B$8+X51*$B$9 + Z26+X52)/1000</f>
        <v>2.1933390703988049</v>
      </c>
      <c r="AZ45" s="45">
        <f>(AA24*$B$8+X51*$B$9 + AA26+X52)/1000</f>
        <v>2.1926640703988047</v>
      </c>
      <c r="BA45" s="45" t="s">
        <v>146</v>
      </c>
      <c r="BB45" s="60">
        <f>(X24*$B$8+AC51*$B$9 + X26+AC52)/1000</f>
        <v>0.68173659589577928</v>
      </c>
      <c r="BC45" s="60">
        <f>(Y24*$B$8+AC51*$B$9 + Y26+AC52)/1000</f>
        <v>0.11311659589577928</v>
      </c>
      <c r="BD45" s="45">
        <f>(Z24*$B$8+Y51*$B$9 + Z26+Y52)/1000</f>
        <v>1.8391691620671675</v>
      </c>
      <c r="BE45" s="45">
        <f>(AA24*$B$8+Y51*$B$9 + AA26+Y52)/1000</f>
        <v>1.8384941620671673</v>
      </c>
      <c r="BF45" s="45" t="s">
        <v>146</v>
      </c>
      <c r="BG45" s="60">
        <f>(Z24*$B$8+AC51*$B$9 + Z26+AC52)/1000</f>
        <v>0.11236659589577928</v>
      </c>
      <c r="BH45" s="60">
        <f>(AA24*$B$8+AC51*$B$9 + AA26+AC52)/1000</f>
        <v>0.11169159589577929</v>
      </c>
      <c r="BI45" s="69" t="s">
        <v>146</v>
      </c>
    </row>
    <row r="46" spans="22:61" ht="15">
      <c r="V46" s="50" t="s">
        <v>178</v>
      </c>
      <c r="W46" s="45">
        <f>$DJ$14</f>
        <v>0.26500000000000001</v>
      </c>
      <c r="X46" s="45">
        <f>$DJ$14</f>
        <v>0.26500000000000001</v>
      </c>
      <c r="Y46" s="45">
        <f>$DJ$14</f>
        <v>0.26500000000000001</v>
      </c>
      <c r="Z46" s="45"/>
      <c r="AA46" s="45"/>
      <c r="AB46" s="45"/>
      <c r="AC46" s="45">
        <f>$DJ$14</f>
        <v>0.26500000000000001</v>
      </c>
      <c r="AK46" s="68" t="str">
        <f t="shared" si="13"/>
        <v>Handheld - dense crop - upwards - Tank</v>
      </c>
      <c r="AL46" s="60">
        <f>(W21*$B$8+W54*$B$9 + W23+W55)/1000</f>
        <v>18.244168967063867</v>
      </c>
      <c r="AM46" s="60"/>
      <c r="AN46" s="60"/>
      <c r="AO46" s="60"/>
      <c r="AP46" s="60"/>
      <c r="AQ46" s="60"/>
      <c r="AR46" s="60"/>
      <c r="AS46" s="60"/>
      <c r="AT46" s="60"/>
      <c r="AU46" s="60">
        <f>(X21*$B$8+X54*$B$9 + X23+X55)/1000</f>
        <v>2.1359161188365796</v>
      </c>
      <c r="AV46" s="60">
        <f>(Y21*$B$8+X54*$B$9 + Y23+X55)/1000</f>
        <v>2.0868689919124304</v>
      </c>
      <c r="AW46" s="60">
        <f>(X21*$B$8+Y54*$B$9 + X23+Y55)/1000</f>
        <v>1.6166461188365793</v>
      </c>
      <c r="AX46" s="60">
        <f>(Y21*$B$8+Y54*$B$9 + Y23+Y55)/1000</f>
        <v>1.5675989919124305</v>
      </c>
      <c r="AY46" s="45">
        <f>(Z21*$B$8+X54*$B$9 + Z23+X55)/1000</f>
        <v>2.0867763641325943</v>
      </c>
      <c r="AZ46" s="45">
        <f>(AA21*$B$8+X54*$B$9 + AA23+X55)/1000</f>
        <v>2.0866929991307415</v>
      </c>
      <c r="BA46" s="45">
        <f>(AB21*$B$8+X54*$B$9 + AB23+X55)/1000</f>
        <v>2.0856064495956215</v>
      </c>
      <c r="BB46" s="60">
        <f>(X21*$B$8+AC54*$B$9 + X22+AC55)/1000</f>
        <v>0.17641882066746703</v>
      </c>
      <c r="BC46" s="60">
        <f>(Y21*$B$8+AC54*$B$9 + Y22+AC55)/1000</f>
        <v>0.12737169374331808</v>
      </c>
      <c r="BD46" s="45">
        <f>(Z21*$B$8+Y54*$B$9 + Z23+Y55)/1000</f>
        <v>1.5675063641325941</v>
      </c>
      <c r="BE46" s="45">
        <f>(AA21*$B$8+Y54*$B$9 + AA23+Y55)/1000</f>
        <v>1.5674229991307413</v>
      </c>
      <c r="BF46" s="45">
        <f>(AB21*$B$8+Y54*$B$9 + AB23+Y55)/1000</f>
        <v>1.5663364495956213</v>
      </c>
      <c r="BG46" s="60">
        <f>(Z21*$B$8+AC54*$B$9 + Z23+AC55)/1000</f>
        <v>0.12579486413259416</v>
      </c>
      <c r="BH46" s="60">
        <f>(AA21*$B$8+AC54*$B$9 + AA23+AC55)/1000</f>
        <v>0.12571149913074151</v>
      </c>
      <c r="BI46" s="69">
        <f>(AB21*$B$8+AC54*$B$9 + AB23+AC55)/1000</f>
        <v>0.12462494959562152</v>
      </c>
    </row>
    <row r="47" spans="22:61" ht="15">
      <c r="V47" s="50" t="s">
        <v>179</v>
      </c>
      <c r="W47" s="45">
        <f>W46*0.2</f>
        <v>5.3000000000000005E-2</v>
      </c>
      <c r="X47" s="45">
        <f t="shared" ref="X47:Y47" si="17">X46*0.2</f>
        <v>5.3000000000000005E-2</v>
      </c>
      <c r="Y47" s="45">
        <f t="shared" si="17"/>
        <v>5.3000000000000005E-2</v>
      </c>
      <c r="Z47" s="45"/>
      <c r="AA47" s="45"/>
      <c r="AB47" s="45"/>
      <c r="AC47" s="45">
        <f t="shared" ref="AC47" si="18">AC46*0.2</f>
        <v>5.3000000000000005E-2</v>
      </c>
      <c r="AK47" s="68" t="str">
        <f t="shared" si="13"/>
        <v>Handheld - dense crop - upwards - (motorized) Knapsack</v>
      </c>
      <c r="AL47" s="60">
        <f>(W24*$B$8+W54*$B$9 + W26+W55)/1000</f>
        <v>18.774739999999998</v>
      </c>
      <c r="AM47" s="60"/>
      <c r="AN47" s="60"/>
      <c r="AO47" s="60"/>
      <c r="AP47" s="60"/>
      <c r="AQ47" s="60"/>
      <c r="AR47" s="60"/>
      <c r="AS47" s="60"/>
      <c r="AT47" s="60"/>
      <c r="AU47" s="60">
        <f>(X24*$B$8+X54*$B$9 + X26+X55)/1000</f>
        <v>2.6620400000000002</v>
      </c>
      <c r="AV47" s="60">
        <f>(Y24*$B$8+X54*$B$9 + Y26+X55)/1000</f>
        <v>2.0934200000000001</v>
      </c>
      <c r="AW47" s="60">
        <f>(X24*$B$8+Y54*$B$9 + X26+Y55)/1000</f>
        <v>2.1427700000000001</v>
      </c>
      <c r="AX47" s="60">
        <f>(Y24*$B$8+Y54*$B$9 + Y26+Y55)/1000</f>
        <v>1.5741500000000002</v>
      </c>
      <c r="AY47" s="45">
        <f>(Z24*$B$8+X54*$B$9 + Z26+X55)/1000</f>
        <v>2.09267</v>
      </c>
      <c r="AZ47" s="45">
        <f>(AA24*$B$8+X54*$B$9 + AA26+X55)/1000</f>
        <v>2.0919949999999998</v>
      </c>
      <c r="BA47" s="45" t="s">
        <v>146</v>
      </c>
      <c r="BB47" s="60">
        <f>(X24*$B$8+AC54*$B$9 + X26+AC55)/1000</f>
        <v>0.70105850000000003</v>
      </c>
      <c r="BC47" s="60">
        <f>(Y24*$B$8+AC54*$B$9 + Y26+AC55)/1000</f>
        <v>0.13243850000000001</v>
      </c>
      <c r="BD47" s="45">
        <f>(Z24*$B$8+Y54*$B$9 + Z26+Y55)/1000</f>
        <v>1.5734000000000001</v>
      </c>
      <c r="BE47" s="45">
        <f>(AA24*$B$8+Y54*$B$9 + AA26+Y55)/1000</f>
        <v>1.5727249999999999</v>
      </c>
      <c r="BF47" s="45" t="s">
        <v>146</v>
      </c>
      <c r="BG47" s="60">
        <f>(Z24*$B$8+AC54*$B$9 + Z26+AC55)/1000</f>
        <v>0.13168850000000001</v>
      </c>
      <c r="BH47" s="60">
        <f>(AA24*$B$8+AC54*$B$9 + AA26+AC55)/1000</f>
        <v>0.13101350000000003</v>
      </c>
      <c r="BI47" s="69" t="s">
        <v>146</v>
      </c>
    </row>
    <row r="48" spans="22:61" ht="15">
      <c r="V48" s="50" t="s">
        <v>180</v>
      </c>
      <c r="W48" s="47">
        <f>X48/0.01</f>
        <v>2287736.9000000004</v>
      </c>
      <c r="X48" s="47">
        <f>DK14</f>
        <v>22877.369000000002</v>
      </c>
      <c r="Y48" s="47">
        <f>DL14</f>
        <v>15714.550000000001</v>
      </c>
      <c r="Z48" s="47"/>
      <c r="AA48" s="47"/>
      <c r="AB48" s="47"/>
      <c r="AC48" s="47">
        <f>DL14*0.05</f>
        <v>785.72750000000008</v>
      </c>
      <c r="AD48" s="15"/>
      <c r="AE48" s="15"/>
      <c r="AF48" s="15"/>
      <c r="AG48" s="15"/>
      <c r="AH48" s="15"/>
      <c r="AI48" s="15"/>
      <c r="AK48" s="68" t="str">
        <f>V78</f>
        <v>Solid Broadcast spreader for granules</v>
      </c>
      <c r="AL48" s="60">
        <f>(W27*$B$8+W45*$B$8+W29+W46)/1000</f>
        <v>2.4550000000000002E-2</v>
      </c>
      <c r="AM48" s="60"/>
      <c r="AN48" s="60"/>
      <c r="AO48" s="60"/>
      <c r="AP48" s="60"/>
      <c r="AQ48" s="60"/>
      <c r="AR48" s="60"/>
      <c r="AS48" s="60"/>
      <c r="AT48" s="60"/>
      <c r="AU48" s="60">
        <f>(X27*$B$8+X45*$B$8+X29+X46)/1000</f>
        <v>5.8210000000000011E-4</v>
      </c>
      <c r="AV48" s="60">
        <f>(Y27*$B$8+X45*$B$8+Y29+X46)/1000</f>
        <v>5.6235999999999992E-4</v>
      </c>
      <c r="AW48" s="60">
        <f>(X27*$B$8+Y45*$B$8+X29+Y46)/1000</f>
        <v>5.4591999999999998E-4</v>
      </c>
      <c r="AX48" s="60">
        <f>(Y27*$B$8+Y45*$B$8+Y29+Y46)/1000</f>
        <v>5.2618000000000012E-4</v>
      </c>
      <c r="AY48" s="62">
        <f>(Z27*$B$8+X45*$B$8+Z29+X46)/1000</f>
        <v>5.1688000000000005E-4</v>
      </c>
      <c r="AZ48" s="62">
        <f>(AA27*$B$8+X45*$B$8+AA29+X46)/1000</f>
        <v>4.7594800000000002E-4</v>
      </c>
      <c r="BA48" s="45" t="s">
        <v>146</v>
      </c>
      <c r="BB48" s="60">
        <f>(X27*$B$8+AC45*$B$8+X29+AC46)/1000</f>
        <v>4.55461E-4</v>
      </c>
      <c r="BC48" s="60">
        <f>(Y27*$B$8+AC45*$B$8+Y29+AC46)/1000</f>
        <v>4.3572100000000002E-4</v>
      </c>
      <c r="BD48" s="62">
        <f>(Z27*$B$8+Y45*$B$8+Z29+Y46)/1000</f>
        <v>4.8070000000000003E-4</v>
      </c>
      <c r="BE48" s="62">
        <f>(AA27*$B$8+Y45*$B$8+AA29+Y46)/1000</f>
        <v>4.3976800000000005E-4</v>
      </c>
      <c r="BF48" s="62" t="s">
        <v>146</v>
      </c>
      <c r="BG48" s="62">
        <f>(Z27*$B$8+AC45*$B$8+Z29+AC46)/1000</f>
        <v>3.9024100000000005E-4</v>
      </c>
      <c r="BH48" s="62">
        <f>(AA27*$B$8+AC45*$B$8+AA29+AC46)/1000</f>
        <v>3.4930900000000001E-4</v>
      </c>
      <c r="BI48" s="71" t="s">
        <v>146</v>
      </c>
    </row>
    <row r="49" spans="22:61" ht="15">
      <c r="V49" s="50" t="s">
        <v>181</v>
      </c>
      <c r="W49" s="47">
        <f>$DM$14</f>
        <v>103.61700000000002</v>
      </c>
      <c r="X49" s="47">
        <f>$DM$14</f>
        <v>103.61700000000002</v>
      </c>
      <c r="Y49" s="47">
        <f>$DM$14</f>
        <v>103.61700000000002</v>
      </c>
      <c r="Z49" s="47"/>
      <c r="AA49" s="47"/>
      <c r="AB49" s="47"/>
      <c r="AC49" s="47">
        <f>$DM$14</f>
        <v>103.61700000000002</v>
      </c>
      <c r="AD49" s="15"/>
      <c r="AE49" s="15"/>
      <c r="AF49" s="15"/>
      <c r="AG49" s="15"/>
      <c r="AH49" s="15"/>
      <c r="AI49" s="15"/>
      <c r="AK49" s="68" t="str">
        <f>V79</f>
        <v>Manual granule application</v>
      </c>
      <c r="AL49" s="60">
        <f>(W48*$B$8+W49)/1000</f>
        <v>137.367831</v>
      </c>
      <c r="AM49" s="60"/>
      <c r="AN49" s="64"/>
      <c r="AO49" s="60"/>
      <c r="AP49" s="60"/>
      <c r="AQ49" s="60"/>
      <c r="AR49" s="60"/>
      <c r="AS49" s="60"/>
      <c r="AT49" s="60"/>
      <c r="AU49" s="60">
        <f>(X48*$B$8+X49)/1000</f>
        <v>1.47625914</v>
      </c>
      <c r="AV49" s="60" t="s">
        <v>146</v>
      </c>
      <c r="AW49" s="60" t="s">
        <v>146</v>
      </c>
      <c r="AX49" s="60">
        <f>(Y48*$B$8+Y49)/1000</f>
        <v>1.0464899999999999</v>
      </c>
      <c r="AY49" s="45" t="s">
        <v>146</v>
      </c>
      <c r="AZ49" s="61" t="s">
        <v>146</v>
      </c>
      <c r="BA49" s="45" t="s">
        <v>146</v>
      </c>
      <c r="BB49" s="60" t="s">
        <v>146</v>
      </c>
      <c r="BC49" s="60" t="s">
        <v>146</v>
      </c>
      <c r="BD49" s="45" t="s">
        <v>146</v>
      </c>
      <c r="BE49" s="45" t="s">
        <v>146</v>
      </c>
      <c r="BF49" s="45" t="s">
        <v>146</v>
      </c>
      <c r="BG49" s="60" t="s">
        <v>146</v>
      </c>
      <c r="BH49" s="60">
        <f>(AC48*$B$8+AC49)/1000</f>
        <v>0.15076065000000002</v>
      </c>
      <c r="BI49" s="69" t="s">
        <v>146</v>
      </c>
    </row>
    <row r="50" spans="22:61" ht="15">
      <c r="V50" s="50" t="s">
        <v>182</v>
      </c>
      <c r="W50" s="47">
        <f>W49*0.2</f>
        <v>20.723400000000005</v>
      </c>
      <c r="X50" s="47">
        <f t="shared" ref="X50:Y50" si="19">X49*0.2</f>
        <v>20.723400000000005</v>
      </c>
      <c r="Y50" s="47">
        <f t="shared" si="19"/>
        <v>20.723400000000005</v>
      </c>
      <c r="Z50" s="47"/>
      <c r="AA50" s="47"/>
      <c r="AB50" s="47"/>
      <c r="AC50" s="47">
        <f t="shared" ref="AC50" si="20">AC49*0.2</f>
        <v>20.723400000000005</v>
      </c>
      <c r="AD50" s="15"/>
      <c r="AE50" s="15"/>
      <c r="AF50" s="15"/>
      <c r="AG50" s="15"/>
      <c r="AH50" s="15"/>
      <c r="AI50" s="15"/>
      <c r="AK50" s="68" t="str">
        <f>V76</f>
        <v>Aerial (airplane)</v>
      </c>
      <c r="AL50" s="60">
        <f>(W21*$B$8+W42*$B$9 + W23+W43)/1000</f>
        <v>9.5364067063870975E-2</v>
      </c>
      <c r="AM50" s="60"/>
      <c r="AN50" s="60"/>
      <c r="AO50" s="60"/>
      <c r="AP50" s="60"/>
      <c r="AQ50" s="60"/>
      <c r="AR50" s="60"/>
      <c r="AS50" s="60"/>
      <c r="AT50" s="60"/>
      <c r="AU50" s="60">
        <f>(X21*$B$8+X42*$B$9 + X23+X43)/1000</f>
        <v>5.0514918836579457E-2</v>
      </c>
      <c r="AV50" s="60">
        <f>(Y21*$B$8+X42*$B$9 + Y23+X43)/1000</f>
        <v>1.467791912430476E-3</v>
      </c>
      <c r="AW50" s="60">
        <f>(X21*$B$8+Y42*$B$9 + X23+Y43)/1000</f>
        <v>5.0430318836579453E-2</v>
      </c>
      <c r="AX50" s="60">
        <f>(Y21*$B$8+Y42*$B$9 + Y23+Y43)/1000</f>
        <v>1.383191912430476E-3</v>
      </c>
      <c r="AY50" s="45">
        <f>(Z21*$B$8+X42*$B$9 + Z23+X43)/1000</f>
        <v>1.3751641325941708E-3</v>
      </c>
      <c r="AZ50" s="45">
        <f>(AA21*$B$8+X42*$B$9 + AA23+X43)/1000</f>
        <v>1.2917991307414959E-3</v>
      </c>
      <c r="BA50" s="45">
        <f>(AB21*$B$8+X42*$B$9 + AB23+X43)/1000</f>
        <v>2.052495956215238E-4</v>
      </c>
      <c r="BB50" s="60" t="s">
        <v>146</v>
      </c>
      <c r="BC50" s="60" t="s">
        <v>146</v>
      </c>
      <c r="BD50" s="45">
        <f>(Z21*$B$8+Y42*$B$9 + Z23+Y43)/1000</f>
        <v>1.2905641325941708E-3</v>
      </c>
      <c r="BE50" s="45">
        <f>(AA21*$B$8+Y42*$B$9 + AA23+Y43)/1000</f>
        <v>1.2071991307414959E-3</v>
      </c>
      <c r="BF50" s="45">
        <f>(AB21*$B$8+Y42*$B$9 + AB23+Y43)/1000</f>
        <v>1.206495956215238E-4</v>
      </c>
      <c r="BG50" s="60" t="s">
        <v>146</v>
      </c>
      <c r="BH50" s="60" t="s">
        <v>146</v>
      </c>
      <c r="BI50" s="69" t="s">
        <v>146</v>
      </c>
    </row>
    <row r="51" spans="22:61" ht="15.75" thickBot="1">
      <c r="V51" s="50" t="s">
        <v>183</v>
      </c>
      <c r="W51" s="47">
        <f>CX14</f>
        <v>46292.575069269966</v>
      </c>
      <c r="X51" s="47">
        <f>CY14</f>
        <v>7239.5227336366443</v>
      </c>
      <c r="Y51" s="47">
        <f>CZ14</f>
        <v>6058.9563725311864</v>
      </c>
      <c r="Z51" s="47"/>
      <c r="AA51" s="47"/>
      <c r="AB51" s="47"/>
      <c r="AC51" s="47">
        <f>CZ14*0.05</f>
        <v>302.94781862655935</v>
      </c>
      <c r="AD51" s="15"/>
      <c r="AE51" s="15"/>
      <c r="AF51" s="15"/>
      <c r="AG51" s="15"/>
      <c r="AH51" s="15"/>
      <c r="AI51" s="15"/>
      <c r="AK51" s="72" t="str">
        <f>$V$77</f>
        <v>Drip irrigation</v>
      </c>
      <c r="AL51" s="73">
        <f>(W21*$B$8+ W23)/1000</f>
        <v>9.2608967063870978E-2</v>
      </c>
      <c r="AM51" s="74"/>
      <c r="AN51" s="74"/>
      <c r="AO51" s="74"/>
      <c r="AP51" s="74"/>
      <c r="AQ51" s="74"/>
      <c r="AR51" s="74"/>
      <c r="AS51" s="74"/>
      <c r="AT51" s="74"/>
      <c r="AU51" s="74">
        <f>(X21*$B$8 + X23)/1000</f>
        <v>5.0376118836579449E-2</v>
      </c>
      <c r="AV51" s="74">
        <f>(Y21*$B$8 + Y23)/1000</f>
        <v>1.3289919124304759E-3</v>
      </c>
      <c r="AW51" s="74" t="s">
        <v>146</v>
      </c>
      <c r="AX51" s="74" t="s">
        <v>146</v>
      </c>
      <c r="AY51" s="73">
        <f>(Z21*$B$8 + Z23)/1000</f>
        <v>1.2363641325941707E-3</v>
      </c>
      <c r="AZ51" s="75">
        <f>(AA21*$B$8 + AA23)/1000</f>
        <v>1.1529991307414958E-3</v>
      </c>
      <c r="BA51" s="73">
        <f>(AB21*$B$8 + AB23)/1000</f>
        <v>6.6449595621523796E-5</v>
      </c>
      <c r="BB51" s="74" t="s">
        <v>146</v>
      </c>
      <c r="BC51" s="74" t="s">
        <v>146</v>
      </c>
      <c r="BD51" s="74" t="s">
        <v>146</v>
      </c>
      <c r="BE51" s="74" t="s">
        <v>146</v>
      </c>
      <c r="BF51" s="74" t="s">
        <v>146</v>
      </c>
      <c r="BG51" s="74" t="s">
        <v>146</v>
      </c>
      <c r="BH51" s="74" t="s">
        <v>146</v>
      </c>
      <c r="BI51" s="76" t="s">
        <v>146</v>
      </c>
    </row>
    <row r="52" spans="22:61" ht="15.75" thickBot="1">
      <c r="V52" s="50" t="s">
        <v>184</v>
      </c>
      <c r="W52" s="47">
        <f>$DA$14</f>
        <v>14.352250307811493</v>
      </c>
      <c r="X52" s="47">
        <f>$DA$14</f>
        <v>14.352250307811493</v>
      </c>
      <c r="Y52" s="47">
        <f>$DA$14</f>
        <v>14.352250307811493</v>
      </c>
      <c r="Z52" s="47"/>
      <c r="AA52" s="47"/>
      <c r="AB52" s="47"/>
      <c r="AC52" s="47">
        <f>$DA$14</f>
        <v>14.352250307811493</v>
      </c>
      <c r="AD52" s="15"/>
      <c r="AE52" s="15"/>
      <c r="AF52" s="15"/>
      <c r="AG52" s="15"/>
      <c r="AH52" s="15"/>
      <c r="AI52" s="15"/>
    </row>
    <row r="53" spans="22:61" ht="165">
      <c r="V53" s="50" t="s">
        <v>185</v>
      </c>
      <c r="W53" s="47">
        <f>$DA$14*0.2</f>
        <v>2.8704500615622988</v>
      </c>
      <c r="X53" s="47">
        <f>$DA$14*0.2</f>
        <v>2.8704500615622988</v>
      </c>
      <c r="Y53" s="47">
        <f>$DA$14*0.2</f>
        <v>2.8704500615622988</v>
      </c>
      <c r="Z53" s="47"/>
      <c r="AA53" s="47"/>
      <c r="AB53" s="47"/>
      <c r="AC53" s="47">
        <f>$DA$14*0.2</f>
        <v>2.8704500615622988</v>
      </c>
      <c r="AK53" s="85" t="s">
        <v>109</v>
      </c>
      <c r="AL53" s="66" t="s">
        <v>101</v>
      </c>
      <c r="AM53" s="66"/>
      <c r="AN53" s="66"/>
      <c r="AO53" s="66"/>
      <c r="AP53" s="66"/>
      <c r="AQ53" s="66"/>
      <c r="AR53" s="66"/>
      <c r="AS53" s="66"/>
      <c r="AT53" s="66"/>
      <c r="AU53" s="66" t="s">
        <v>124</v>
      </c>
      <c r="AV53" s="66" t="s">
        <v>125</v>
      </c>
      <c r="AW53" s="66" t="s">
        <v>126</v>
      </c>
      <c r="AX53" s="66" t="s">
        <v>127</v>
      </c>
      <c r="AY53" s="66" t="s">
        <v>128</v>
      </c>
      <c r="AZ53" s="66" t="s">
        <v>129</v>
      </c>
      <c r="BA53" s="66" t="s">
        <v>130</v>
      </c>
      <c r="BB53" s="66" t="s">
        <v>131</v>
      </c>
      <c r="BC53" s="66" t="s">
        <v>132</v>
      </c>
      <c r="BD53" s="66" t="s">
        <v>133</v>
      </c>
      <c r="BE53" s="66" t="s">
        <v>134</v>
      </c>
      <c r="BF53" s="66" t="s">
        <v>135</v>
      </c>
      <c r="BG53" s="66" t="s">
        <v>136</v>
      </c>
      <c r="BH53" s="66" t="s">
        <v>137</v>
      </c>
      <c r="BI53" s="67" t="s">
        <v>138</v>
      </c>
    </row>
    <row r="54" spans="22:61" ht="15">
      <c r="V54" s="50" t="s">
        <v>186</v>
      </c>
      <c r="W54" s="47">
        <f>DB14+DD14+DF14</f>
        <v>60443.200000000004</v>
      </c>
      <c r="X54" s="47">
        <f>DB14+DE14+DF14</f>
        <v>6889.8000000000011</v>
      </c>
      <c r="Y54" s="47">
        <f>DC14+DE14+DF14</f>
        <v>5158.9000000000005</v>
      </c>
      <c r="Z54" s="45"/>
      <c r="AA54" s="45"/>
      <c r="AB54" s="45"/>
      <c r="AC54" s="45">
        <f>DC14+DE14*0.05+DF14*0.5</f>
        <v>353.19500000000005</v>
      </c>
      <c r="AK54" s="68" t="str">
        <f t="shared" ref="AK54:AK63" si="21">V66</f>
        <v>Tractor mounted boom sprayer</v>
      </c>
      <c r="AL54" s="60">
        <f>(W21*$B$8+W30*$B$9 + W22+W32)/1000</f>
        <v>0.1012137930838751</v>
      </c>
      <c r="AM54" s="60"/>
      <c r="AN54" s="60"/>
      <c r="AO54" s="60"/>
      <c r="AP54" s="60"/>
      <c r="AQ54" s="60"/>
      <c r="AR54" s="60"/>
      <c r="AS54" s="60"/>
      <c r="AT54" s="60"/>
      <c r="AU54" s="60">
        <f>(X21*$B$8+X30*$B$9 + X22+X32)/1000</f>
        <v>5.6561208379476424E-2</v>
      </c>
      <c r="AV54" s="60">
        <f>(Y21*$B$8+X30*$B$9 + Y22+X32)/1000</f>
        <v>7.5140814553274603E-3</v>
      </c>
      <c r="AW54" s="60">
        <f>(X21*$B$8+Y30*$B$9 + X22+Y32)/1000</f>
        <v>5.5749201205283608E-2</v>
      </c>
      <c r="AX54" s="60">
        <f>(Y21*$B$8+Y30*$B$9 + Y22+Y32)/1000</f>
        <v>6.7020742811346352E-3</v>
      </c>
      <c r="AY54" s="45">
        <f>(Z21*$B$8+X30*$B$9 + Z22+X32)/1000</f>
        <v>7.4214536754911549E-3</v>
      </c>
      <c r="AZ54" s="45">
        <f>(AA21*$B$8+X30*$B$9 + AA22+X32)/1000</f>
        <v>7.3380886736384796E-3</v>
      </c>
      <c r="BA54" s="45">
        <f>(AB21*$B$8+X30*$B$9 + AB22+X32)/1000</f>
        <v>4.8415473991752986E-3</v>
      </c>
      <c r="BB54" s="60">
        <f>(X21*$B$8+AC30*$B$9 + X22+AC32)/1000</f>
        <v>5.5625568953846835E-2</v>
      </c>
      <c r="BC54" s="60">
        <f>(Y21*$B$8+AC30*$B$9 + Y22+AC32)/1000</f>
        <v>6.5784420296978712E-3</v>
      </c>
      <c r="BD54" s="45">
        <f>(Z21*$B$8+Y30*$B$9 + Z22+Y32)/1000</f>
        <v>6.6094465012983298E-3</v>
      </c>
      <c r="BE54" s="45">
        <f>(AA21*$B$8+Y30*$B$9 + AA22+Y32)/1000</f>
        <v>6.5260814994456554E-3</v>
      </c>
      <c r="BF54" s="45">
        <f>(AB21*$B$8+Y30*$B$9 + AB22+Y32)/1000</f>
        <v>4.0295402249824735E-3</v>
      </c>
      <c r="BG54" s="60">
        <f>(Z21*$B$8+AC30*$B$9 + Z22+AC32)/1000</f>
        <v>6.4858142498615667E-3</v>
      </c>
      <c r="BH54" s="60">
        <f>(AA21*$B$8+AC30*$B$9 + AA22+AC32)/1000</f>
        <v>6.4024492480088914E-3</v>
      </c>
      <c r="BI54" s="69">
        <f>(AB21*$B$8+AC30*$B$9 + AB22+AC32)/1000</f>
        <v>3.9059079735457095E-3</v>
      </c>
    </row>
    <row r="55" spans="22:61" ht="15">
      <c r="V55" s="50" t="s">
        <v>187</v>
      </c>
      <c r="W55" s="47">
        <f>$DG$14</f>
        <v>18.600000000000001</v>
      </c>
      <c r="X55" s="47">
        <f>$DG$14</f>
        <v>18.600000000000001</v>
      </c>
      <c r="Y55" s="47">
        <f>$DG$14</f>
        <v>18.600000000000001</v>
      </c>
      <c r="Z55" s="45"/>
      <c r="AA55" s="45"/>
      <c r="AB55" s="45"/>
      <c r="AC55" s="47">
        <f>$DG$14</f>
        <v>18.600000000000001</v>
      </c>
      <c r="AK55" s="68" t="str">
        <f t="shared" si="21"/>
        <v>Airblast without cabin</v>
      </c>
      <c r="AL55" s="60">
        <f>(W21*$B$8+W33*$B$9 + W22+W35)/1000</f>
        <v>0.49490745150083659</v>
      </c>
      <c r="AM55" s="60"/>
      <c r="AN55" s="60"/>
      <c r="AO55" s="60"/>
      <c r="AP55" s="60"/>
      <c r="AQ55" s="60"/>
      <c r="AR55" s="60"/>
      <c r="AS55" s="60"/>
      <c r="AT55" s="60"/>
      <c r="AU55" s="60">
        <f>(X21*$B$8+X33*$B$9 + X22+X35)/1000</f>
        <v>0.19177240702463519</v>
      </c>
      <c r="AV55" s="60">
        <f>(Y21*$B$8+X33*$B$9 + Y22+X35)/1000</f>
        <v>0.14272528010048624</v>
      </c>
      <c r="AW55" s="60">
        <f>(X21*$B$8+Y33*$B$9 + X22+Y35)/1000</f>
        <v>9.4578258042637781E-2</v>
      </c>
      <c r="AX55" s="60">
        <f>(Y21*$B$8+Y33*$B$9 + Y22+Y35)/1000</f>
        <v>4.5531131118488805E-2</v>
      </c>
      <c r="AY55" s="45">
        <f>(Z21*$B$8+X33*$B$9 + Z22+X35)/1000</f>
        <v>0.14263265232064992</v>
      </c>
      <c r="AZ55" s="45">
        <f>(AA21*$B$8+X33*$B$9 + AA22+X35)/1000</f>
        <v>0.14254928731879724</v>
      </c>
      <c r="BA55" s="45">
        <f>(AB21*$B$8+X33*$B$9 + AB22+X35)/1000</f>
        <v>0.14005274604433407</v>
      </c>
      <c r="BB55" s="60">
        <f>(X21*$B$8+AC33*$B$9 + X22+AC35)/1000</f>
        <v>7.3931665057808849E-2</v>
      </c>
      <c r="BC55" s="60">
        <f>(Y21*$B$8+AC33*$B$9 + Y22+AC35)/1000</f>
        <v>2.4884538133659862E-2</v>
      </c>
      <c r="BD55" s="45">
        <f>(Z21*$B$8+Y33*$B$9 + Z22+Y35)/1000</f>
        <v>4.5438503338652493E-2</v>
      </c>
      <c r="BE55" s="45">
        <f>(AA21*$B$8+Y33*$B$9 + AA22+Y35)/1000</f>
        <v>4.535513833679982E-2</v>
      </c>
      <c r="BF55" s="45">
        <f>(AB21*$B$8+Y33*$B$9 + AB22+Y35)/1000</f>
        <v>4.2858597062336641E-2</v>
      </c>
      <c r="BG55" s="60">
        <f>(Z21*$B$8+AC33*$B$9 + Z22+AC35)/1000</f>
        <v>2.4791910353823558E-2</v>
      </c>
      <c r="BH55" s="60">
        <f>(AA21*$B$8+AC33*$B$9 + AA22+AC35)/1000</f>
        <v>2.4708545351970885E-2</v>
      </c>
      <c r="BI55" s="69">
        <f>(AB21*$B$8+AC33*$B$9 + AB22+AC35)/1000</f>
        <v>2.2212004077507695E-2</v>
      </c>
    </row>
    <row r="56" spans="22:61" ht="15">
      <c r="V56" s="50" t="s">
        <v>188</v>
      </c>
      <c r="W56" s="45">
        <f>$DG$14*0.2</f>
        <v>3.7200000000000006</v>
      </c>
      <c r="X56" s="45">
        <f>$DG$14*0.2</f>
        <v>3.7200000000000006</v>
      </c>
      <c r="Y56" s="45">
        <f>$DG$14*0.2</f>
        <v>3.7200000000000006</v>
      </c>
      <c r="Z56" s="45"/>
      <c r="AA56" s="45"/>
      <c r="AB56" s="45"/>
      <c r="AC56" s="45">
        <f>$DG$14*0.2</f>
        <v>3.7200000000000006</v>
      </c>
      <c r="AK56" s="68" t="str">
        <f t="shared" si="21"/>
        <v>Airblast with cabin</v>
      </c>
      <c r="AL56" s="60">
        <f>(W21*$B$8+W36*$B$9 + W22+W38)/1000</f>
        <v>0.23462573464578682</v>
      </c>
      <c r="AM56" s="60"/>
      <c r="AN56" s="60"/>
      <c r="AO56" s="60"/>
      <c r="AP56" s="60"/>
      <c r="AQ56" s="60"/>
      <c r="AR56" s="60"/>
      <c r="AS56" s="60"/>
      <c r="AT56" s="60"/>
      <c r="AU56" s="60">
        <f>(X21*$B$8+X36*$B$9 + X22+X38)/1000</f>
        <v>0.10633397648173887</v>
      </c>
      <c r="AV56" s="60">
        <f>(Y21*$B$8+X36*$B$9 + Y22+X38)/1000</f>
        <v>5.7286849557589899E-2</v>
      </c>
      <c r="AW56" s="60">
        <f>(X21*$B$8+Y36*$B$9 + X22+Y38)/1000</f>
        <v>5.5936466898934938E-2</v>
      </c>
      <c r="AX56" s="60">
        <f>(Y21*$B$8+Y36*$B$9 + Y22+Y38)/1000</f>
        <v>6.8893399747859676E-3</v>
      </c>
      <c r="AY56" s="45">
        <f>(Z21*$B$8+X36*$B$9 + Z22+X38)/1000</f>
        <v>5.7194221777753587E-2</v>
      </c>
      <c r="AZ56" s="45">
        <f>(AA21*$B$8+X36*$B$9 + AA22+X38)/1000</f>
        <v>5.7110856775900914E-2</v>
      </c>
      <c r="BA56" s="45">
        <f>(AB21*$B$8+X36*$B$9 + AB22+X38)/1000</f>
        <v>5.4614315501437735E-2</v>
      </c>
      <c r="BB56" s="60">
        <f>(X21*$B$8+AC36*$B$9 + X22+AC38)/1000</f>
        <v>5.377397032514579E-2</v>
      </c>
      <c r="BC56" s="60">
        <f>(Y21*$B$8+AC36*$B$9 + Y22+AC38)/1000</f>
        <v>4.7268434009968231E-3</v>
      </c>
      <c r="BD56" s="45">
        <f>(Z21*$B$8+Y36*$B$9 + Z22+Y38)/1000</f>
        <v>6.7967121949496631E-3</v>
      </c>
      <c r="BE56" s="45">
        <f>(AA21*$B$8+Y36*$B$9 + AA22+Y38)/1000</f>
        <v>6.7133471930969878E-3</v>
      </c>
      <c r="BF56" s="45">
        <f>(AB21*$B$8+Y36*$B$9 + AB22+Y38)/1000</f>
        <v>4.2168059186338059E-3</v>
      </c>
      <c r="BG56" s="60">
        <f>(Z21*$B$8+AC36*$B$9 + Z22+AC38)/1000</f>
        <v>4.6342156211605177E-3</v>
      </c>
      <c r="BH56" s="60">
        <f>(AA21*$B$8+AC36*$B$9 + AA22+AC38)/1000</f>
        <v>4.5508506193078432E-3</v>
      </c>
      <c r="BI56" s="69">
        <f>(AB21*$B$8+AC36*$B$9 + AB22+AC38)/1000</f>
        <v>2.0543093448446605E-3</v>
      </c>
    </row>
    <row r="57" spans="22:61">
      <c r="AK57" s="68" t="str">
        <f t="shared" si="21"/>
        <v>Handheld - normal crop - Lance Tank</v>
      </c>
      <c r="AL57" s="60">
        <f>(W21*$B$8+W39*$B$9 + W22+W41)/1000</f>
        <v>8.049236139737312</v>
      </c>
      <c r="AM57" s="60"/>
      <c r="AN57" s="60"/>
      <c r="AO57" s="60"/>
      <c r="AP57" s="60"/>
      <c r="AQ57" s="60"/>
      <c r="AR57" s="60"/>
      <c r="AS57" s="60"/>
      <c r="AT57" s="60"/>
      <c r="AU57" s="60">
        <f>(X21*$B$8+X39*$B$9 + X22+X41)/1000</f>
        <v>0.80848759082002264</v>
      </c>
      <c r="AV57" s="60">
        <f>(Y21*$B$8+X39*$B$9 + Y22+X41)/1000</f>
        <v>0.75944046389587372</v>
      </c>
      <c r="AW57" s="60">
        <f>(X21*$B$8+Y39*$B$9 + X22+Y41)/1000</f>
        <v>0.45431768248838533</v>
      </c>
      <c r="AX57" s="60">
        <f>(Y21*$B$8+Y39*$B$9 + Y22+Y41)/1000</f>
        <v>0.40527055556423636</v>
      </c>
      <c r="AY57" s="45">
        <f>(Z21*$B$8+X39*$B$9 + Z22+X41)/1000</f>
        <v>0.75934783611603729</v>
      </c>
      <c r="AZ57" s="45">
        <f>(AA21*$B$8+X39*$B$9 + AA22+X41)/1000</f>
        <v>0.7592644711141846</v>
      </c>
      <c r="BA57" s="45">
        <f>(AB21*$B$8+X39*$B$9 + AB22+X41)/1000</f>
        <v>0.75676792983972152</v>
      </c>
      <c r="BB57" s="60">
        <f>(X21*$B$8+AC39*$B$9 + X22+AC41)/1000</f>
        <v>7.471011631699713E-2</v>
      </c>
      <c r="BC57" s="60">
        <f>(Y21*$B$8+AC39*$B$9 + Y22+AC41)/1000</f>
        <v>2.5662989392848164E-2</v>
      </c>
      <c r="BD57" s="45">
        <f>(Z21*$B$8+Y39*$B$9 + Z22+Y41)/1000</f>
        <v>0.40517792778440004</v>
      </c>
      <c r="BE57" s="45">
        <f>(AA21*$B$8+Y39*$B$9 + AA22+Y41)/1000</f>
        <v>0.40509456278254735</v>
      </c>
      <c r="BF57" s="45">
        <f>(AB21*$B$8+Y39*$B$9 + AB22+Y41)/1000</f>
        <v>0.40259802150808416</v>
      </c>
      <c r="BG57" s="60">
        <f>(Z21*$B$8+AC39*$B$9 + Z22+AC41)/1000</f>
        <v>2.557036161301186E-2</v>
      </c>
      <c r="BH57" s="60">
        <f>(AA21*$B$8+AC39*$B$9 + AA22+AC41)/1000</f>
        <v>2.5486996611159184E-2</v>
      </c>
      <c r="BI57" s="69">
        <f>(AB21*$B$8+AC39*$B$9 + AB22+AC41)/1000</f>
        <v>2.2990455336695997E-2</v>
      </c>
    </row>
    <row r="58" spans="22:61">
      <c r="AK58" s="68" t="str">
        <f t="shared" si="21"/>
        <v>Handheld - normal crop - Knapsack</v>
      </c>
      <c r="AL58" s="60">
        <f>(W24*$B$8+W39*$B$9 + W25+W41)/1000</f>
        <v>8.5983229708425526</v>
      </c>
      <c r="AM58" s="60"/>
      <c r="AN58" s="60"/>
      <c r="AO58" s="60"/>
      <c r="AP58" s="60"/>
      <c r="AQ58" s="60"/>
      <c r="AR58" s="60"/>
      <c r="AS58" s="60"/>
      <c r="AT58" s="60"/>
      <c r="AU58" s="60">
        <f>(X24*$B$8+X39*$B$9 + X25+X41)/1000</f>
        <v>1.3531272701525554</v>
      </c>
      <c r="AV58" s="60">
        <f>(Y24*$B$8+X39*$B$9 + Y25+X41)/1000</f>
        <v>0.78450727015255561</v>
      </c>
      <c r="AW58" s="60">
        <f>(X24*$B$8+Y39*$B$9 + X25+Y41)/1000</f>
        <v>0.99895736182091832</v>
      </c>
      <c r="AX58" s="60">
        <f>(Y24*$B$8+Y39*$B$9 + Y25+Y41)/1000</f>
        <v>0.43033736182091825</v>
      </c>
      <c r="AY58" s="45">
        <f>(Z24*$B$8+X39*$B$9 + Z25+X41)/1000</f>
        <v>0.78375727015255559</v>
      </c>
      <c r="AZ58" s="45">
        <f>(AA24*$B$8+X39*$B$9 + AA25+X41)/1000</f>
        <v>0.78308227015255572</v>
      </c>
      <c r="BA58" s="45" t="s">
        <v>146</v>
      </c>
      <c r="BB58" s="60">
        <f>(X24*$B$8+AC39*$B$9 + X25+AC41)/1000</f>
        <v>0.61934979564953019</v>
      </c>
      <c r="BC58" s="60">
        <f>(Y24*$B$8+AC39*$B$9 + Y25+AC41)/1000</f>
        <v>5.0729795649530098E-2</v>
      </c>
      <c r="BD58" s="45">
        <f>(Z24*$B$8+Y39*$B$9 + Z25+Y41)/1000</f>
        <v>0.42958736182091828</v>
      </c>
      <c r="BE58" s="45">
        <f>(AA24*$B$8+Y39*$B$9 + AA25+Y41)/1000</f>
        <v>0.42891236182091824</v>
      </c>
      <c r="BF58" s="45" t="s">
        <v>146</v>
      </c>
      <c r="BG58" s="60">
        <f>(Z24*$B$8+AC39*$B$9 + Z25+AC41)/1000</f>
        <v>4.9979795649530097E-2</v>
      </c>
      <c r="BH58" s="60">
        <f>(AA24*$B$8+AC39*$B$9 + AA25+AC41)/1000</f>
        <v>4.9304795649530102E-2</v>
      </c>
      <c r="BI58" s="69" t="s">
        <v>146</v>
      </c>
    </row>
    <row r="59" spans="22:61">
      <c r="AK59" s="68" t="str">
        <f t="shared" si="21"/>
        <v>Handheld - normal crop - Powerblaster/motorized Knapsack</v>
      </c>
      <c r="AL59" s="60">
        <f>(W24*$B$8+W39*$B$9 + W25+W41)/1000</f>
        <v>8.5983229708425526</v>
      </c>
      <c r="AM59" s="60"/>
      <c r="AN59" s="60"/>
      <c r="AO59" s="60"/>
      <c r="AP59" s="60"/>
      <c r="AQ59" s="60"/>
      <c r="AR59" s="60"/>
      <c r="AS59" s="60"/>
      <c r="AT59" s="60"/>
      <c r="AU59" s="60">
        <f>(X24*$B$8+X39*$B$9 + X25+X41)/1000</f>
        <v>1.3531272701525554</v>
      </c>
      <c r="AV59" s="60">
        <f>(Y24*$B$8+X39*$B$9 + Y25+X41)/1000</f>
        <v>0.78450727015255561</v>
      </c>
      <c r="AW59" s="60">
        <f>(X24*$B$8+Y39*$B$9 + X25+Y41)/1000</f>
        <v>0.99895736182091832</v>
      </c>
      <c r="AX59" s="60">
        <f>(Y24*$B$8+Y39*$B$9 + Y25+Y41)/1000</f>
        <v>0.43033736182091825</v>
      </c>
      <c r="AY59" s="45">
        <f>(Z24*$B$8+X39*$B$9 + Z25+X41)/1000</f>
        <v>0.78375727015255559</v>
      </c>
      <c r="AZ59" s="45">
        <f>(AA24*$B$8+X39*$B$9 + AA25+X41)/1000</f>
        <v>0.78308227015255572</v>
      </c>
      <c r="BA59" s="45" t="s">
        <v>146</v>
      </c>
      <c r="BB59" s="60">
        <f>(X24*$B$8+AC39*$B$9 + X25+AC41)/1000</f>
        <v>0.61934979564953019</v>
      </c>
      <c r="BC59" s="60">
        <f>(Y24*$B$8+AC39*$B$9 + Y25+AC41)/1000</f>
        <v>5.0729795649530098E-2</v>
      </c>
      <c r="BD59" s="45">
        <f>(Z24*$B$8+Y39*$B$9 + Z25+Y41)/1000</f>
        <v>0.42958736182091828</v>
      </c>
      <c r="BE59" s="45">
        <f>(AA24*$B$8+Y39*$B$9 + AA25+Y41)/1000</f>
        <v>0.42891236182091824</v>
      </c>
      <c r="BF59" s="45" t="s">
        <v>146</v>
      </c>
      <c r="BG59" s="60">
        <f>(Z24*$B$8+AC39*$B$9 + Z25+AC41)/1000</f>
        <v>4.9979795649530097E-2</v>
      </c>
      <c r="BH59" s="60">
        <f>(AA24*$B$8+AC39*$B$9 + AA25+AC41)/1000</f>
        <v>4.9304795649530102E-2</v>
      </c>
      <c r="BI59" s="69" t="s">
        <v>146</v>
      </c>
    </row>
    <row r="60" spans="22:61">
      <c r="AK60" s="68" t="str">
        <f t="shared" si="21"/>
        <v>Handheld - dense crop - downwards -  Lance Tank</v>
      </c>
      <c r="AL60" s="45">
        <f>(W21*$B$8+W51*$B$9 + W22+W53)/1000</f>
        <v>13.98473613973731</v>
      </c>
      <c r="AM60" s="45"/>
      <c r="AN60" s="45"/>
      <c r="AO60" s="45"/>
      <c r="AP60" s="45"/>
      <c r="AQ60" s="45"/>
      <c r="AR60" s="45"/>
      <c r="AS60" s="45"/>
      <c r="AT60" s="45"/>
      <c r="AU60" s="45">
        <f>(X21*$B$8+X51*$B$9 + X22+X53)/1000</f>
        <v>2.2265875908200226</v>
      </c>
      <c r="AV60" s="45">
        <f>(Y21*$B$8+X51*$B$9 + Y22+X53)/1000</f>
        <v>2.1775404638958729</v>
      </c>
      <c r="AW60" s="45">
        <f>(X21*$B$8+Y51*$B$9 + X22+Y53)/1000</f>
        <v>1.8724176824883849</v>
      </c>
      <c r="AX60" s="45">
        <f>(Y21*$B$8+Y51*$B$9 + Y22+Y53)/1000</f>
        <v>1.8233705555642361</v>
      </c>
      <c r="AY60" s="45">
        <f>(Z21*$B$8+X51*$B$9 + Z22+X53)/1000</f>
        <v>2.1774478361160368</v>
      </c>
      <c r="AZ60" s="45">
        <f>(AA21*$B$8+X51*$B$9 + AA22+X53)/1000</f>
        <v>2.1773644711141844</v>
      </c>
      <c r="BA60" s="45">
        <f>(AB21*$B$8+X51*$B$9 + AB22+X53)/1000</f>
        <v>2.1748679298397211</v>
      </c>
      <c r="BB60" s="45">
        <f>(X21*$B$8+AC51*$B$9 + X22+AC53)/1000</f>
        <v>0.14561511631699714</v>
      </c>
      <c r="BC60" s="45">
        <f>(Y21*$B$8+AC51*$B$9 + Y22+AC53)/1000</f>
        <v>9.6567989392848164E-2</v>
      </c>
      <c r="BD60" s="45">
        <f>(Z21*$B$8+Y51*$B$9 + Z22+Y53)/1000</f>
        <v>1.8232779277844</v>
      </c>
      <c r="BE60" s="45">
        <f>(AA21*$B$8+Y51*$B$9 + AA22+Y53)/1000</f>
        <v>1.8231945627825472</v>
      </c>
      <c r="BF60" s="45">
        <f>(AB21*$B$8+Y51*$B$9 + AB22+Y53)/1000</f>
        <v>1.8206980215080839</v>
      </c>
      <c r="BG60" s="45">
        <f>(Z21*$B$8+AC51*$B$9 + Z22+AC53)/1000</f>
        <v>9.6475361613011859E-2</v>
      </c>
      <c r="BH60" s="45">
        <f>(AA21*$B$8+AC51*$B$9 + AA22+AC53)/1000</f>
        <v>9.6391996611159186E-2</v>
      </c>
      <c r="BI60" s="70">
        <f>(AB21*$B$8+AC51*$B$9 + AB22+AC53)/1000</f>
        <v>9.3895455336695993E-2</v>
      </c>
    </row>
    <row r="61" spans="22:61">
      <c r="AK61" s="68" t="str">
        <f t="shared" si="21"/>
        <v>Handheld - dense crop - downwards -  (motorized) Knapsack</v>
      </c>
      <c r="AL61" s="60">
        <f>(W24*$B$8+W51*$B$9 + W25+W53)/1000</f>
        <v>14.533822970842552</v>
      </c>
      <c r="AM61" s="60"/>
      <c r="AN61" s="60"/>
      <c r="AO61" s="60"/>
      <c r="AP61" s="60"/>
      <c r="AQ61" s="60"/>
      <c r="AR61" s="60"/>
      <c r="AS61" s="60"/>
      <c r="AT61" s="60"/>
      <c r="AU61" s="60">
        <f>(X24*$B$8+X51*$B$9 + X25+X53)/1000</f>
        <v>2.7712272701525551</v>
      </c>
      <c r="AV61" s="60">
        <f>(Y24*$B$8+X51*$B$9 + Y25+X53)/1000</f>
        <v>2.2026072701525554</v>
      </c>
      <c r="AW61" s="60">
        <f>(X24*$B$8+Y51*$B$9 + X25+Y53)/1000</f>
        <v>2.4170573618209183</v>
      </c>
      <c r="AX61" s="60">
        <f>(Y24*$B$8+Y51*$B$9 + Y25+Y53)/1000</f>
        <v>1.8484373618209182</v>
      </c>
      <c r="AY61" s="45">
        <f>(Z24*$B$8+X51*$B$9 + Z25+X53)/1000</f>
        <v>2.2018572701525554</v>
      </c>
      <c r="AZ61" s="45">
        <f>(AA24*$B$8+X51*$B$9 + AA25+X53)/1000</f>
        <v>2.2011822701525552</v>
      </c>
      <c r="BA61" s="45" t="s">
        <v>146</v>
      </c>
      <c r="BB61" s="60">
        <f>(X24*$B$8+AC51*$B$9 + X25+AC53)/1000</f>
        <v>0.69025479564953018</v>
      </c>
      <c r="BC61" s="60">
        <f>(Y24*$B$8+AC51*$B$9 + Y25+AC53)/1000</f>
        <v>0.12163479564953009</v>
      </c>
      <c r="BD61" s="45">
        <f>(Z24*$B$8+Y51*$B$9 + Z25+Y53)/1000</f>
        <v>1.8476873618209182</v>
      </c>
      <c r="BE61" s="45">
        <f>(AA24*$B$8+Y51*$B$9 + AA25+Y53)/1000</f>
        <v>1.847012361820918</v>
      </c>
      <c r="BF61" s="45" t="s">
        <v>146</v>
      </c>
      <c r="BG61" s="60">
        <f>(Z24*$B$8+AC51*$B$9 + Z25+AC53)/1000</f>
        <v>0.12088479564953009</v>
      </c>
      <c r="BH61" s="60">
        <f>(AA24*$B$8+AC51*$B$9 + AA25+AC53)/1000</f>
        <v>0.12020979564953009</v>
      </c>
      <c r="BI61" s="69" t="s">
        <v>146</v>
      </c>
    </row>
    <row r="62" spans="22:61">
      <c r="AK62" s="68" t="str">
        <f t="shared" si="21"/>
        <v>Handheld - dense crop - upwards - Tank</v>
      </c>
      <c r="AL62" s="60">
        <f>(W21*$B$8+W54*$B$9 + W22+W56)/1000</f>
        <v>18.230773168894757</v>
      </c>
      <c r="AM62" s="60"/>
      <c r="AN62" s="60"/>
      <c r="AO62" s="60"/>
      <c r="AP62" s="60"/>
      <c r="AQ62" s="60"/>
      <c r="AR62" s="60"/>
      <c r="AS62" s="60"/>
      <c r="AT62" s="60"/>
      <c r="AU62" s="60">
        <f>(X21*$B$8+X54*$B$9 + X22+X56)/1000</f>
        <v>2.122520320667467</v>
      </c>
      <c r="AV62" s="60">
        <f>(Y21*$B$8+X54*$B$9 + Y22+X56)/1000</f>
        <v>2.0734731937433177</v>
      </c>
      <c r="AW62" s="60">
        <f>(X21*$B$8+Y54*$B$9 + X22+Y56)/1000</f>
        <v>1.6032503206674671</v>
      </c>
      <c r="AX62" s="60">
        <f>(Y21*$B$8+Y54*$B$9 + Y22+Y56)/1000</f>
        <v>1.5542031937433183</v>
      </c>
      <c r="AY62" s="45">
        <f>(Z21*$B$8+X54*$B$9 + Z22+X56)/1000</f>
        <v>2.0733805659634812</v>
      </c>
      <c r="AZ62" s="45">
        <f>(AA21*$B$8+X54*$B$9 + AA22+X56)/1000</f>
        <v>2.0732972009616288</v>
      </c>
      <c r="BA62" s="45">
        <f>(AB21*$B$8+X54*$B$9 + AB22+X56)/1000</f>
        <v>2.0708006596871655</v>
      </c>
      <c r="BB62" s="60">
        <f>(X21*$B$8+AC54*$B$9 + X22+AC56)/1000</f>
        <v>0.16153882066746703</v>
      </c>
      <c r="BC62" s="60">
        <f>(Y21*$B$8+AC54*$B$9 + Y22+AC56)/1000</f>
        <v>0.11249169374331808</v>
      </c>
      <c r="BD62" s="45">
        <f>(Z21*$B$8+Y54*$B$9 + Z22+Y56)/1000</f>
        <v>1.554110565963482</v>
      </c>
      <c r="BE62" s="45">
        <f>(AA21*$B$8+Y54*$B$9 + AA22+Y56)/1000</f>
        <v>1.5540272009616292</v>
      </c>
      <c r="BF62" s="45">
        <f>(AB21*$B$8+Y54*$B$9 + AB22+Y56)/1000</f>
        <v>1.5515306596871661</v>
      </c>
      <c r="BG62" s="60">
        <f>(Z21*$B$8+AC54*$B$9 + Z22+AC56)/1000</f>
        <v>0.11239906596348177</v>
      </c>
      <c r="BH62" s="60">
        <f>(AA21*$B$8+AC54*$B$9 + AA22+AC56)/1000</f>
        <v>0.1123157009616291</v>
      </c>
      <c r="BI62" s="69">
        <f>(AB21*$B$8+AC54*$B$9 + AB22+AC56)/1000</f>
        <v>0.10981915968716591</v>
      </c>
    </row>
    <row r="63" spans="22:61">
      <c r="AK63" s="68" t="str">
        <f t="shared" si="21"/>
        <v>Handheld - dense crop - upwards - (motorized) Knapsack</v>
      </c>
      <c r="AL63" s="60">
        <f>(W24*$B$8+W54*$B$9 + W25+W56)/1000</f>
        <v>18.779859999999999</v>
      </c>
      <c r="AM63" s="60"/>
      <c r="AN63" s="60"/>
      <c r="AO63" s="60"/>
      <c r="AP63" s="60"/>
      <c r="AQ63" s="60"/>
      <c r="AR63" s="60"/>
      <c r="AS63" s="60"/>
      <c r="AT63" s="60"/>
      <c r="AU63" s="60">
        <f>(X24*$B$8+X54*$B$9 + X25+X56)/1000</f>
        <v>2.66716</v>
      </c>
      <c r="AV63" s="60">
        <f>(Y24*$B$8+X54*$B$9 + Y25+X56)/1000</f>
        <v>2.0985399999999998</v>
      </c>
      <c r="AW63" s="60">
        <f>(X24*$B$8+Y54*$B$9 + X25+Y56)/1000</f>
        <v>2.1478899999999999</v>
      </c>
      <c r="AX63" s="60">
        <f>(Y24*$B$8+Y54*$B$9 + Y25+Y56)/1000</f>
        <v>1.5792700000000002</v>
      </c>
      <c r="AY63" s="45">
        <f>(Z24*$B$8+X54*$B$9 + Z25+X56)/1000</f>
        <v>2.0977899999999998</v>
      </c>
      <c r="AZ63" s="45">
        <f>(AA24*$B$8+X54*$B$9 + AA25+X56)/1000</f>
        <v>2.0971149999999996</v>
      </c>
      <c r="BA63" s="45" t="s">
        <v>146</v>
      </c>
      <c r="BB63" s="60">
        <f>(X24*$B$8+AC54*$B$9 + X25+AC56)/1000</f>
        <v>0.70617849999999993</v>
      </c>
      <c r="BC63" s="60">
        <f>(Y24*$B$8+AC54*$B$9 + Y25+AC56)/1000</f>
        <v>0.1375585</v>
      </c>
      <c r="BD63" s="45">
        <f>(Z24*$B$8+Y54*$B$9 + Z25+Y56)/1000</f>
        <v>1.5785200000000001</v>
      </c>
      <c r="BE63" s="45">
        <f>(AA24*$B$8+Y54*$B$9 + AA25+Y56)/1000</f>
        <v>1.5778449999999999</v>
      </c>
      <c r="BF63" s="45" t="s">
        <v>146</v>
      </c>
      <c r="BG63" s="60">
        <f>(Z24*$B$8+AC54*$B$9 + Z25+AC56)/1000</f>
        <v>0.1368085</v>
      </c>
      <c r="BH63" s="60">
        <f>(AA24*$B$8+AC54*$B$9 + AA25+AC56)/1000</f>
        <v>0.13613349999999999</v>
      </c>
      <c r="BI63" s="69" t="s">
        <v>146</v>
      </c>
    </row>
    <row r="64" spans="22:61">
      <c r="AK64" s="86" t="str">
        <f>V78</f>
        <v>Solid Broadcast spreader for granules</v>
      </c>
      <c r="AL64" s="87">
        <f>(W27*$B$8+W45*$B$8+W28+W47)/1000</f>
        <v>2.4638E-2</v>
      </c>
      <c r="AM64" s="87"/>
      <c r="AN64" s="87"/>
      <c r="AO64" s="87"/>
      <c r="AP64" s="87"/>
      <c r="AQ64" s="87"/>
      <c r="AR64" s="87"/>
      <c r="AS64" s="87"/>
      <c r="AT64" s="87"/>
      <c r="AU64" s="87">
        <f>(X27*$B$8+X45*$B$8+X28+X47)/1000</f>
        <v>6.7010000000000008E-4</v>
      </c>
      <c r="AV64" s="87">
        <f>(Y27*$B$8+X45*$B$8+Y28+X47)/1000</f>
        <v>6.5036E-4</v>
      </c>
      <c r="AW64" s="87">
        <f>(X27*$B$8+Y45*$B$8+X28+Y47)/1000</f>
        <v>6.3392000000000006E-4</v>
      </c>
      <c r="AX64" s="87">
        <f>(Y27*$B$8+Y45*$B$8+Y28+Y47)/1000</f>
        <v>6.1418000000000009E-4</v>
      </c>
      <c r="AY64" s="88">
        <f>(Z27*$B$8+X45*$B$8+Z28+X47)/1000</f>
        <v>6.0488000000000002E-4</v>
      </c>
      <c r="AZ64" s="88">
        <f>(AA27*$B$8+X45*$B$8+AA28+X47)/1000</f>
        <v>5.6394799999999999E-4</v>
      </c>
      <c r="BA64" s="88" t="s">
        <v>146</v>
      </c>
      <c r="BB64" s="87">
        <f>(X27*$B$8+AC45*$B$8+X28+AC47)/1000</f>
        <v>5.4346099999999997E-4</v>
      </c>
      <c r="BC64" s="87">
        <f>(Y27*$B$8+AC45*$B$8+Y28+AC47)/1000</f>
        <v>5.23721E-4</v>
      </c>
      <c r="BD64" s="88">
        <f>(Z27*$B$8+Y45*$B$8+Z28+Y47)/1000</f>
        <v>5.6870000000000011E-4</v>
      </c>
      <c r="BE64" s="88">
        <f>(AA27*$B$8+Y45*$B$8+AA28+Y47)/1000</f>
        <v>5.2776799999999997E-4</v>
      </c>
      <c r="BF64" s="88" t="s">
        <v>146</v>
      </c>
      <c r="BG64" s="88">
        <f>(Z27*$B$8+AC45*$B$8+Z28+AC47)/1000</f>
        <v>4.7824099999999996E-4</v>
      </c>
      <c r="BH64" s="88">
        <f>(AA27*$B$8+AC45*$B$8+AA28+AC47)/1000</f>
        <v>4.3730899999999998E-4</v>
      </c>
      <c r="BI64" s="89" t="s">
        <v>146</v>
      </c>
    </row>
    <row r="65" spans="22:61" ht="30">
      <c r="V65" s="50" t="s">
        <v>189</v>
      </c>
      <c r="W65" s="53" t="s">
        <v>190</v>
      </c>
      <c r="AK65" s="68" t="str">
        <f>V79</f>
        <v>Manual granule application</v>
      </c>
      <c r="AL65" s="60">
        <f>(W48*$B$8+W49)/1000</f>
        <v>137.367831</v>
      </c>
      <c r="AM65" s="60"/>
      <c r="AN65" s="64"/>
      <c r="AO65" s="60"/>
      <c r="AP65" s="60"/>
      <c r="AQ65" s="60"/>
      <c r="AR65" s="60"/>
      <c r="AS65" s="60"/>
      <c r="AT65" s="60"/>
      <c r="AU65" s="60">
        <f>(X48*$B$8+X49)/1000</f>
        <v>1.47625914</v>
      </c>
      <c r="AV65" s="60" t="s">
        <v>146</v>
      </c>
      <c r="AW65" s="60" t="s">
        <v>146</v>
      </c>
      <c r="AX65" s="60">
        <f>(Y48*$B$8+Y49)/1000</f>
        <v>1.0464899999999999</v>
      </c>
      <c r="AY65" s="45" t="s">
        <v>146</v>
      </c>
      <c r="AZ65" s="61" t="s">
        <v>146</v>
      </c>
      <c r="BA65" s="45" t="s">
        <v>146</v>
      </c>
      <c r="BB65" s="60" t="s">
        <v>146</v>
      </c>
      <c r="BC65" s="60" t="s">
        <v>146</v>
      </c>
      <c r="BD65" s="45" t="s">
        <v>146</v>
      </c>
      <c r="BE65" s="45" t="s">
        <v>146</v>
      </c>
      <c r="BF65" s="45" t="s">
        <v>146</v>
      </c>
      <c r="BG65" s="60" t="s">
        <v>146</v>
      </c>
      <c r="BH65" s="60">
        <f>(AC48*$B$8+AC49)/1000</f>
        <v>0.15076065000000002</v>
      </c>
      <c r="BI65" s="69" t="s">
        <v>146</v>
      </c>
    </row>
    <row r="66" spans="22:61" ht="15">
      <c r="V66" s="50" t="s">
        <v>191</v>
      </c>
      <c r="W66" s="45">
        <v>50</v>
      </c>
      <c r="AK66" s="68" t="str">
        <f>V76</f>
        <v>Aerial (airplane)</v>
      </c>
      <c r="AL66" s="60">
        <f>(W21*$B$8+W42*$B$9 + W22+W44)/1000</f>
        <v>9.6847388894758579E-2</v>
      </c>
      <c r="AM66" s="60"/>
      <c r="AN66" s="60"/>
      <c r="AO66" s="60"/>
      <c r="AP66" s="60"/>
      <c r="AQ66" s="60"/>
      <c r="AR66" s="60"/>
      <c r="AS66" s="60"/>
      <c r="AT66" s="60"/>
      <c r="AU66" s="60">
        <f>(X21*$B$8+X42*$B$9 + X22+X44)/1000</f>
        <v>5.1998240667467034E-2</v>
      </c>
      <c r="AV66" s="60">
        <f>(Y21*$B$8+X42*$B$9 + Y22+X44)/1000</f>
        <v>2.9511137433180655E-3</v>
      </c>
      <c r="AW66" s="60">
        <f>(X21*$B$8+Y42*$B$9 + X22+Y44)/1000</f>
        <v>5.1913640667467037E-2</v>
      </c>
      <c r="AX66" s="60">
        <f>(Y21*$B$8+Y42*$B$9 + Y22+Y44)/1000</f>
        <v>2.8665137433180657E-3</v>
      </c>
      <c r="AY66" s="45">
        <f>(Z21*$B$8+X42*$B$9 + Z22+X44)/1000</f>
        <v>2.8584859634817605E-3</v>
      </c>
      <c r="AZ66" s="45">
        <f>(AA21*$B$8+X42*$B$9 + AA22+X44)/1000</f>
        <v>2.7751209616290857E-3</v>
      </c>
      <c r="BA66" s="45">
        <f>(AB21*$B$8+X42*$B$9 + AB22+X44)/1000</f>
        <v>2.7857968716590327E-4</v>
      </c>
      <c r="BB66" s="60" t="s">
        <v>146</v>
      </c>
      <c r="BC66" s="60" t="s">
        <v>146</v>
      </c>
      <c r="BD66" s="45">
        <f>(Z21*$B$8+Y42*$B$9 + Z22+Y44)/1000</f>
        <v>2.7738859634817603E-3</v>
      </c>
      <c r="BE66" s="45">
        <f>(AA21*$B$8+Y42*$B$9 + AA22+Y44)/1000</f>
        <v>2.6905209616290855E-3</v>
      </c>
      <c r="BF66" s="45">
        <f>(AB21*$B$8+Y42*$B$9 + AB22+Y44)/1000</f>
        <v>1.9397968716590327E-4</v>
      </c>
      <c r="BG66" s="60" t="s">
        <v>146</v>
      </c>
      <c r="BH66" s="60" t="s">
        <v>146</v>
      </c>
      <c r="BI66" s="69" t="s">
        <v>146</v>
      </c>
    </row>
    <row r="67" spans="22:61" ht="15.75" thickBot="1">
      <c r="V67" s="50" t="s">
        <v>192</v>
      </c>
      <c r="W67" s="45">
        <v>10</v>
      </c>
      <c r="AK67" s="72" t="str">
        <f>$V$77</f>
        <v>Drip irrigation</v>
      </c>
      <c r="AL67" s="73">
        <f>(W21*$B$8+ W23)/1000</f>
        <v>9.2608967063870978E-2</v>
      </c>
      <c r="AM67" s="74"/>
      <c r="AN67" s="74"/>
      <c r="AO67" s="74"/>
      <c r="AP67" s="74"/>
      <c r="AQ67" s="74"/>
      <c r="AR67" s="74"/>
      <c r="AS67" s="74"/>
      <c r="AT67" s="74"/>
      <c r="AU67" s="74">
        <f>(X21*$B$8 + X23)/1000</f>
        <v>5.0376118836579449E-2</v>
      </c>
      <c r="AV67" s="74">
        <f>(Y21*$B$8 + Y23)/1000</f>
        <v>1.3289919124304759E-3</v>
      </c>
      <c r="AW67" s="74" t="s">
        <v>146</v>
      </c>
      <c r="AX67" s="74" t="s">
        <v>146</v>
      </c>
      <c r="AY67" s="73">
        <f>(Z21*$B$8 + Z23)/1000</f>
        <v>1.2363641325941707E-3</v>
      </c>
      <c r="AZ67" s="75">
        <f>(AA21*$B$8 + AA23)/1000</f>
        <v>1.1529991307414958E-3</v>
      </c>
      <c r="BA67" s="73">
        <f>(AB21*$B$8 + AB23)/1000</f>
        <v>6.6449595621523796E-5</v>
      </c>
      <c r="BB67" s="74" t="s">
        <v>146</v>
      </c>
      <c r="BC67" s="74" t="s">
        <v>146</v>
      </c>
      <c r="BD67" s="74" t="s">
        <v>146</v>
      </c>
      <c r="BE67" s="74" t="s">
        <v>146</v>
      </c>
      <c r="BF67" s="74" t="s">
        <v>146</v>
      </c>
      <c r="BG67" s="74" t="s">
        <v>146</v>
      </c>
      <c r="BH67" s="74" t="s">
        <v>146</v>
      </c>
      <c r="BI67" s="76" t="s">
        <v>146</v>
      </c>
    </row>
    <row r="68" spans="22:61" ht="15">
      <c r="V68" s="50" t="s">
        <v>193</v>
      </c>
      <c r="W68" s="45">
        <v>10</v>
      </c>
    </row>
    <row r="69" spans="22:61" ht="15.75" thickBot="1">
      <c r="V69" s="50" t="s">
        <v>194</v>
      </c>
      <c r="W69" s="45">
        <v>4</v>
      </c>
      <c r="AL69" s="16"/>
      <c r="AM69" s="16"/>
      <c r="AN69" s="16"/>
      <c r="AO69" s="16"/>
      <c r="AP69" s="16"/>
      <c r="AQ69" s="16"/>
      <c r="AR69" s="16"/>
      <c r="AS69" s="16"/>
      <c r="AT69" s="16"/>
      <c r="AU69" s="16"/>
      <c r="AV69" s="16"/>
      <c r="AW69" s="16"/>
      <c r="AX69" s="16"/>
    </row>
    <row r="70" spans="22:61" ht="165">
      <c r="V70" s="50" t="s">
        <v>46</v>
      </c>
      <c r="W70" s="45">
        <v>1</v>
      </c>
      <c r="AK70" s="77" t="s">
        <v>195</v>
      </c>
      <c r="AL70" s="66" t="s">
        <v>101</v>
      </c>
      <c r="AM70" s="66"/>
      <c r="AN70" s="66"/>
      <c r="AO70" s="66"/>
      <c r="AP70" s="66"/>
      <c r="AQ70" s="66"/>
      <c r="AR70" s="66"/>
      <c r="AS70" s="66"/>
      <c r="AT70" s="66"/>
      <c r="AU70" s="66" t="s">
        <v>124</v>
      </c>
      <c r="AV70" s="66" t="s">
        <v>125</v>
      </c>
      <c r="AW70" s="66" t="s">
        <v>126</v>
      </c>
      <c r="AX70" s="66" t="s">
        <v>127</v>
      </c>
      <c r="AY70" s="66" t="s">
        <v>128</v>
      </c>
      <c r="AZ70" s="66" t="s">
        <v>129</v>
      </c>
      <c r="BA70" s="66" t="s">
        <v>130</v>
      </c>
      <c r="BB70" s="66" t="s">
        <v>131</v>
      </c>
      <c r="BC70" s="66" t="s">
        <v>132</v>
      </c>
      <c r="BD70" s="66" t="s">
        <v>133</v>
      </c>
      <c r="BE70" s="66" t="s">
        <v>134</v>
      </c>
      <c r="BF70" s="66" t="s">
        <v>135</v>
      </c>
      <c r="BG70" s="66" t="s">
        <v>136</v>
      </c>
      <c r="BH70" s="66" t="s">
        <v>137</v>
      </c>
      <c r="BI70" s="67" t="s">
        <v>138</v>
      </c>
    </row>
    <row r="71" spans="22:61" ht="15">
      <c r="V71" s="50" t="s">
        <v>196</v>
      </c>
      <c r="W71" s="45">
        <v>4</v>
      </c>
      <c r="AK71" s="68" t="str">
        <f t="shared" ref="AK71:AK80" si="22">V66</f>
        <v>Tractor mounted boom sprayer</v>
      </c>
      <c r="AL71" s="60">
        <f>(W21*$B$8+W30*$B$9 + W23+W32)/1000</f>
        <v>9.9729591252987498E-2</v>
      </c>
      <c r="AM71" s="60"/>
      <c r="AN71" s="60"/>
      <c r="AO71" s="60"/>
      <c r="AP71" s="60"/>
      <c r="AQ71" s="60"/>
      <c r="AR71" s="60"/>
      <c r="AS71" s="60"/>
      <c r="AT71" s="60"/>
      <c r="AU71" s="60">
        <f>(X21*$B$8+X30*$B$9 + X23+X32)/1000</f>
        <v>5.5077006548588839E-2</v>
      </c>
      <c r="AV71" s="60">
        <f>(Y21*$B$8+X30*$B$9 + Y23+X32)/1000</f>
        <v>6.0298796244398706E-3</v>
      </c>
      <c r="AW71" s="60">
        <f>(X21*$B$8+Y30*$B$9 + X23+Y32)/1000</f>
        <v>5.4264999374396022E-2</v>
      </c>
      <c r="AX71" s="60">
        <f>(Y21*$B$8+Y30*$B$9 + Y23+Y32)/1000</f>
        <v>5.2178724502470455E-3</v>
      </c>
      <c r="AY71" s="45">
        <f>(Z21*$B$8+X30*$B$9 + Z23+X32)/1000</f>
        <v>5.9372518446035652E-3</v>
      </c>
      <c r="AZ71" s="45">
        <f>(AA21*$B$8+X30*$B$9 + AA23+X32)/1000</f>
        <v>5.8538868427508908E-3</v>
      </c>
      <c r="BA71" s="45">
        <f>(AB21*$B$8+X30*$B$9 + AB23+X32)/1000</f>
        <v>4.767337307630919E-3</v>
      </c>
      <c r="BB71" s="60">
        <f>(X21*$B$8+AC30*$B$9 + X23+AC32)/1000</f>
        <v>5.414136712295925E-2</v>
      </c>
      <c r="BC71" s="60">
        <f>(Y21*$B$8+AC30*$B$9 + Y23+AC32)/1000</f>
        <v>5.0942401988102824E-3</v>
      </c>
      <c r="BD71" s="45">
        <f>(Z21*$B$8+Y30*$B$9 + Z23+Y32)/1000</f>
        <v>5.125244670410741E-3</v>
      </c>
      <c r="BE71" s="45">
        <f>(AA21*$B$8+Y30*$B$9 + AA23+Y32)/1000</f>
        <v>5.0418796685580657E-3</v>
      </c>
      <c r="BF71" s="45">
        <f>(AB21*$B$8+Y30*$B$9 + AB23+Y32)/1000</f>
        <v>3.9553301334380939E-3</v>
      </c>
      <c r="BG71" s="60">
        <f>(Z21*$B$8+AC30*$B$9 + Z23+AC32)/1000</f>
        <v>5.0016124189739769E-3</v>
      </c>
      <c r="BH71" s="60">
        <f>(AA21*$B$8+AC30*$B$9 + AA23+AC32)/1000</f>
        <v>4.9182474171213016E-3</v>
      </c>
      <c r="BI71" s="69">
        <f>(AB21*$B$8+AC30*$B$9 + AB23+AC32)/1000</f>
        <v>3.8316978820013298E-3</v>
      </c>
    </row>
    <row r="72" spans="22:61" ht="15">
      <c r="V72" s="50" t="s">
        <v>197</v>
      </c>
      <c r="W72" s="45">
        <v>1</v>
      </c>
      <c r="AK72" s="68" t="str">
        <f t="shared" si="22"/>
        <v>Airblast without cabin</v>
      </c>
      <c r="AL72" s="60">
        <f>(W21*$B$8+W33*$B$9 + W23+W35)/1000</f>
        <v>0.49342324966994899</v>
      </c>
      <c r="AM72" s="60"/>
      <c r="AN72" s="60"/>
      <c r="AO72" s="60"/>
      <c r="AP72" s="60"/>
      <c r="AQ72" s="60"/>
      <c r="AR72" s="60"/>
      <c r="AS72" s="60"/>
      <c r="AT72" s="60"/>
      <c r="AU72" s="60">
        <f>(X21*$B$8+X33*$B$9 + X23+X35)/1000</f>
        <v>0.19028820519374762</v>
      </c>
      <c r="AV72" s="60">
        <f>(Y21*$B$8+X33*$B$9 + Y23+X35)/1000</f>
        <v>0.14124107826959867</v>
      </c>
      <c r="AW72" s="60">
        <f>(X21*$B$8+Y33*$B$9 + X23+Y35)/1000</f>
        <v>9.3094056211750181E-2</v>
      </c>
      <c r="AX72" s="60">
        <f>(Y21*$B$8+Y33*$B$9 + Y23+Y35)/1000</f>
        <v>4.4046929287601219E-2</v>
      </c>
      <c r="AY72" s="45">
        <f>(Z21*$B$8+X33*$B$9 + Z23+X35)/1000</f>
        <v>0.14114845048976235</v>
      </c>
      <c r="AZ72" s="45">
        <f>(AA21*$B$8+X33*$B$9 + AA23+X35)/1000</f>
        <v>0.14106508548790966</v>
      </c>
      <c r="BA72" s="45">
        <f>(AB21*$B$8+X33*$B$9 + AB23+X35)/1000</f>
        <v>0.1399785359527897</v>
      </c>
      <c r="BB72" s="60">
        <f>(X21*$B$8+AC33*$B$9 + X23+AC35)/1000</f>
        <v>7.2447463226921249E-2</v>
      </c>
      <c r="BC72" s="60">
        <f>(Y21*$B$8+AC33*$B$9 + Y23+AC35)/1000</f>
        <v>2.340033630277227E-2</v>
      </c>
      <c r="BD72" s="45">
        <f>(Z21*$B$8+Y33*$B$9 + Z23+Y35)/1000</f>
        <v>4.3954301507764908E-2</v>
      </c>
      <c r="BE72" s="45">
        <f>(AA21*$B$8+Y33*$B$9 + AA23+Y35)/1000</f>
        <v>4.3870936505912235E-2</v>
      </c>
      <c r="BF72" s="45">
        <f>(AB21*$B$8+Y33*$B$9 + AB23+Y35)/1000</f>
        <v>4.278438697079226E-2</v>
      </c>
      <c r="BG72" s="60">
        <f>(Z21*$B$8+AC33*$B$9 + Z23+AC35)/1000</f>
        <v>2.3307708522935965E-2</v>
      </c>
      <c r="BH72" s="60">
        <f>(AA21*$B$8+AC33*$B$9 + AA23+AC35)/1000</f>
        <v>2.3224343521083293E-2</v>
      </c>
      <c r="BI72" s="69">
        <f>(AB21*$B$8+AC33*$B$9 + AB23+AC35)/1000</f>
        <v>2.2137793985963317E-2</v>
      </c>
    </row>
    <row r="73" spans="22:61" ht="15">
      <c r="V73" s="50" t="s">
        <v>198</v>
      </c>
      <c r="W73" s="45">
        <v>1</v>
      </c>
      <c r="AK73" s="68" t="str">
        <f t="shared" si="22"/>
        <v>Airblast with cabin</v>
      </c>
      <c r="AL73" s="60">
        <f>(W21*$B$8+W36*$B$9 + W23+W38)/1000</f>
        <v>0.23314153281489924</v>
      </c>
      <c r="AM73" s="60"/>
      <c r="AN73" s="60"/>
      <c r="AO73" s="60"/>
      <c r="AP73" s="60"/>
      <c r="AQ73" s="60"/>
      <c r="AR73" s="60"/>
      <c r="AS73" s="60"/>
      <c r="AT73" s="60"/>
      <c r="AU73" s="60">
        <f>(X21*$B$8+X36*$B$9 + X23+X38)/1000</f>
        <v>0.10484977465085127</v>
      </c>
      <c r="AV73" s="60">
        <f>(Y21*$B$8+X36*$B$9 + Y23+X38)/1000</f>
        <v>5.5802647726702313E-2</v>
      </c>
      <c r="AW73" s="60">
        <f>(X21*$B$8+Y36*$B$9 + X23+Y38)/1000</f>
        <v>5.4452265068047352E-2</v>
      </c>
      <c r="AX73" s="60">
        <f>(Y21*$B$8+Y36*$B$9 + Y23+Y38)/1000</f>
        <v>5.4051381438983788E-3</v>
      </c>
      <c r="AY73" s="45">
        <f>(Z21*$B$8+X36*$B$9 + Z23+X38)/1000</f>
        <v>5.5710019946866002E-2</v>
      </c>
      <c r="AZ73" s="45">
        <f>(AA21*$B$8+X36*$B$9 + AA23+X38)/1000</f>
        <v>5.5626654945013329E-2</v>
      </c>
      <c r="BA73" s="45">
        <f>(AB21*$B$8+X36*$B$9 + AB23+X38)/1000</f>
        <v>5.4540105409893354E-2</v>
      </c>
      <c r="BB73" s="60">
        <f>(X21*$B$8+AC36*$B$9 + X23+AC38)/1000</f>
        <v>5.2289768494258204E-2</v>
      </c>
      <c r="BC73" s="60">
        <f>(Y21*$B$8+AC36*$B$9 + Y23+AC38)/1000</f>
        <v>3.2426415701092329E-3</v>
      </c>
      <c r="BD73" s="45">
        <f>(Z21*$B$8+Y36*$B$9 + Z23+Y38)/1000</f>
        <v>5.3125103640620733E-3</v>
      </c>
      <c r="BE73" s="45">
        <f>(AA21*$B$8+Y36*$B$9 + AA23+Y38)/1000</f>
        <v>5.229145362209398E-3</v>
      </c>
      <c r="BF73" s="45">
        <f>(AB21*$B$8+Y36*$B$9 + AB23+Y38)/1000</f>
        <v>4.1425958270894271E-3</v>
      </c>
      <c r="BG73" s="60">
        <f>(Z21*$B$8+AC36*$B$9 + Z23+AC38)/1000</f>
        <v>3.1500137902729279E-3</v>
      </c>
      <c r="BH73" s="60">
        <f>(AA21*$B$8+AC36*$B$9 + AA23+AC38)/1000</f>
        <v>3.0666487884202531E-3</v>
      </c>
      <c r="BI73" s="69">
        <f>(AB21*$B$8+AC36*$B$9 + AB23+AC38)/1000</f>
        <v>1.9800992533002808E-3</v>
      </c>
    </row>
    <row r="74" spans="22:61" ht="15">
      <c r="V74" s="50" t="s">
        <v>199</v>
      </c>
      <c r="W74" s="45">
        <v>1</v>
      </c>
      <c r="AK74" s="68" t="str">
        <f t="shared" si="22"/>
        <v>Handheld - normal crop - Lance Tank</v>
      </c>
      <c r="AL74" s="60">
        <f>(W21*$B$8+W39*$B$9 + W23+W41)/1000</f>
        <v>8.0477519379064244</v>
      </c>
      <c r="AM74" s="60"/>
      <c r="AN74" s="60"/>
      <c r="AO74" s="60"/>
      <c r="AP74" s="60"/>
      <c r="AQ74" s="60"/>
      <c r="AR74" s="60"/>
      <c r="AS74" s="60"/>
      <c r="AT74" s="60"/>
      <c r="AU74" s="60">
        <f>(X21*$B$8+X39*$B$9 + X23+X41)/1000</f>
        <v>0.80700338898913515</v>
      </c>
      <c r="AV74" s="60">
        <f>(Y21*$B$8+X39*$B$9 + Y23+X41)/1000</f>
        <v>0.75795626206498612</v>
      </c>
      <c r="AW74" s="60">
        <f>(X21*$B$8+Y39*$B$9 + X23+Y41)/1000</f>
        <v>0.45283348065749773</v>
      </c>
      <c r="AX74" s="60">
        <f>(Y21*$B$8+Y39*$B$9 + Y23+Y41)/1000</f>
        <v>0.40378635373334876</v>
      </c>
      <c r="AY74" s="45">
        <f>(Z21*$B$8+X39*$B$9 + Z23+X41)/1000</f>
        <v>0.7578636342851498</v>
      </c>
      <c r="AZ74" s="45">
        <f>(AA21*$B$8+X39*$B$9 + AA23+X41)/1000</f>
        <v>0.75778026928329711</v>
      </c>
      <c r="BA74" s="45">
        <f>(AB21*$B$8+X39*$B$9 + AB23+X41)/1000</f>
        <v>0.75669371974817712</v>
      </c>
      <c r="BB74" s="60">
        <f>(X21*$B$8+AC39*$B$9 + X23+AC41)/1000</f>
        <v>7.3225914486109531E-2</v>
      </c>
      <c r="BC74" s="60">
        <f>(Y21*$B$8+AC39*$B$9 + Y23+AC41)/1000</f>
        <v>2.4178787561960572E-2</v>
      </c>
      <c r="BD74" s="45">
        <f>(Z21*$B$8+Y39*$B$9 + Z23+Y41)/1000</f>
        <v>0.40369372595351238</v>
      </c>
      <c r="BE74" s="45">
        <f>(AA21*$B$8+Y39*$B$9 + AA23+Y41)/1000</f>
        <v>0.40361036095165975</v>
      </c>
      <c r="BF74" s="45">
        <f>(AB21*$B$8+Y39*$B$9 + AB23+Y41)/1000</f>
        <v>0.40252381141653981</v>
      </c>
      <c r="BG74" s="60">
        <f>(Z21*$B$8+AC39*$B$9 + Z23+AC41)/1000</f>
        <v>2.4086159782124267E-2</v>
      </c>
      <c r="BH74" s="60">
        <f>(AA21*$B$8+AC39*$B$9 + AA23+AC41)/1000</f>
        <v>2.4002794780271591E-2</v>
      </c>
      <c r="BI74" s="69">
        <f>(AB21*$B$8+AC39*$B$9 + AB23+AC41)/1000</f>
        <v>2.291624524515162E-2</v>
      </c>
    </row>
    <row r="75" spans="22:61" ht="15">
      <c r="V75" s="50" t="s">
        <v>200</v>
      </c>
      <c r="W75" s="45">
        <v>1</v>
      </c>
      <c r="AK75" s="68" t="str">
        <f t="shared" si="22"/>
        <v>Handheld - normal crop - Knapsack</v>
      </c>
      <c r="AL75" s="60">
        <f>(W24*$B$8+W39*$B$9 + W26+W41)/1000</f>
        <v>8.578322970842553</v>
      </c>
      <c r="AM75" s="60"/>
      <c r="AN75" s="60"/>
      <c r="AO75" s="60"/>
      <c r="AP75" s="60"/>
      <c r="AQ75" s="60"/>
      <c r="AR75" s="60"/>
      <c r="AS75" s="60"/>
      <c r="AT75" s="60"/>
      <c r="AU75" s="60">
        <f>(X24*$B$8+X39*$B$9 + X26+X41)/1000</f>
        <v>1.3331272701525554</v>
      </c>
      <c r="AV75" s="60">
        <f>(Y24*$B$8+X39*$B$9 + Y26+X41)/1000</f>
        <v>0.7645072701525556</v>
      </c>
      <c r="AW75" s="60">
        <f>(X24*$B$8+Y39*$B$9 + X26+Y41)/1000</f>
        <v>0.9789573618209183</v>
      </c>
      <c r="AX75" s="60">
        <f>(Y24*$B$8+Y39*$B$9 + Y26+Y41)/1000</f>
        <v>0.41033736182091823</v>
      </c>
      <c r="AY75" s="45">
        <f>(Z24*$B$8+X39*$B$9 + Z26+X41)/1000</f>
        <v>0.76375727015255568</v>
      </c>
      <c r="AZ75" s="45">
        <f>(AA24*$B$8+X39*$B$9 + AA26+X41)/1000</f>
        <v>0.7630822701525557</v>
      </c>
      <c r="BA75" s="45" t="s">
        <v>146</v>
      </c>
      <c r="BB75" s="60">
        <f>(X24*$B$8+AC39*$B$9 + X26+AC41)/1000</f>
        <v>0.59934979564953017</v>
      </c>
      <c r="BC75" s="60">
        <f>(Y24*$B$8+AC39*$B$9 + Y26+AC41)/1000</f>
        <v>3.0729795649530097E-2</v>
      </c>
      <c r="BD75" s="45">
        <f>(Z24*$B$8+Y39*$B$9 + Z26+Y41)/1000</f>
        <v>0.40958736182091826</v>
      </c>
      <c r="BE75" s="45">
        <f>(AA24*$B$8+Y39*$B$9 + AA26+Y41)/1000</f>
        <v>0.40891236182091822</v>
      </c>
      <c r="BF75" s="45" t="s">
        <v>146</v>
      </c>
      <c r="BG75" s="60">
        <f>(Z24*$B$8+AC39*$B$9 + Z26+AC41)/1000</f>
        <v>2.9979795649530096E-2</v>
      </c>
      <c r="BH75" s="60">
        <f>(AA24*$B$8+AC39*$B$9 + AA26+AC41)/1000</f>
        <v>2.9304795649530094E-2</v>
      </c>
      <c r="BI75" s="69" t="s">
        <v>146</v>
      </c>
    </row>
    <row r="76" spans="22:61" ht="15">
      <c r="V76" s="50" t="s">
        <v>201</v>
      </c>
      <c r="W76" s="45">
        <v>500</v>
      </c>
      <c r="AK76" s="68" t="str">
        <f t="shared" si="22"/>
        <v>Handheld - normal crop - Powerblaster/motorized Knapsack</v>
      </c>
      <c r="AL76" s="60">
        <f>(W24*$B$8+W39*$B$9 + W26+W41)/1000</f>
        <v>8.578322970842553</v>
      </c>
      <c r="AM76" s="60"/>
      <c r="AN76" s="60"/>
      <c r="AO76" s="60"/>
      <c r="AP76" s="60"/>
      <c r="AQ76" s="60"/>
      <c r="AR76" s="60"/>
      <c r="AS76" s="60"/>
      <c r="AT76" s="60"/>
      <c r="AU76" s="60">
        <f>(X24*$B$8+X39*$B$9 + X26+X41)/1000</f>
        <v>1.3331272701525554</v>
      </c>
      <c r="AV76" s="60">
        <f>(Y24*$B$8+X39*$B$9 + Y26+X41)/1000</f>
        <v>0.7645072701525556</v>
      </c>
      <c r="AW76" s="60">
        <f>(X24*$B$8+Y39*$B$9 + X26+Y41)/1000</f>
        <v>0.9789573618209183</v>
      </c>
      <c r="AX76" s="60">
        <f>(Y24*$B$8+Y39*$B$9 + Y26+Y41)/1000</f>
        <v>0.41033736182091823</v>
      </c>
      <c r="AY76" s="45">
        <f>(Z24*$B$8+X39*$B$9 + Z26+X41)/1000</f>
        <v>0.76375727015255568</v>
      </c>
      <c r="AZ76" s="45">
        <f>(AA24*$B$8+X39*$B$9 + AA26+X41)/1000</f>
        <v>0.7630822701525557</v>
      </c>
      <c r="BA76" s="45" t="s">
        <v>146</v>
      </c>
      <c r="BB76" s="60">
        <f>(X24*$B$8+AC39*$B$9 + X26+AC41)/1000</f>
        <v>0.59934979564953017</v>
      </c>
      <c r="BC76" s="60">
        <f>(Y24*$B$8+AC39*$B$9 + Y26+AC41)/1000</f>
        <v>3.0729795649530097E-2</v>
      </c>
      <c r="BD76" s="45">
        <f>(Z24*$B$8+Y39*$B$9 + Z26+Y41)/1000</f>
        <v>0.40958736182091826</v>
      </c>
      <c r="BE76" s="45">
        <f>(AA24*$B$8+Y39*$B$9 + AA26+Y41)/1000</f>
        <v>0.40891236182091822</v>
      </c>
      <c r="BF76" s="45" t="s">
        <v>146</v>
      </c>
      <c r="BG76" s="60">
        <f>(Z24*$B$8+AC39*$B$9 + Z26+AC41)/1000</f>
        <v>2.9979795649530096E-2</v>
      </c>
      <c r="BH76" s="60">
        <f>(AA24*$B$8+AC39*$B$9 + AA26+AC41)/1000</f>
        <v>2.9304795649530094E-2</v>
      </c>
      <c r="BI76" s="69" t="s">
        <v>146</v>
      </c>
    </row>
    <row r="77" spans="22:61" ht="15">
      <c r="V77" s="50" t="s">
        <v>202</v>
      </c>
      <c r="W77" s="45">
        <v>50</v>
      </c>
      <c r="AK77" s="68" t="str">
        <f t="shared" si="22"/>
        <v>Handheld - dense crop - downwards -  Lance Tank</v>
      </c>
      <c r="AL77" s="45">
        <f>(W21*$B$8+W51*$B$9 + W23+W53)/1000</f>
        <v>13.983251937906422</v>
      </c>
      <c r="AM77" s="45"/>
      <c r="AN77" s="45"/>
      <c r="AO77" s="45"/>
      <c r="AP77" s="45"/>
      <c r="AQ77" s="45"/>
      <c r="AR77" s="45"/>
      <c r="AS77" s="45"/>
      <c r="AT77" s="45"/>
      <c r="AU77" s="45">
        <f>(X21*$B$8+X51*$B$9 + X23+X53)/1000</f>
        <v>2.225103388989135</v>
      </c>
      <c r="AV77" s="45">
        <f>(Y21*$B$8+X51*$B$9 + Y23+X53)/1000</f>
        <v>2.1760562620649857</v>
      </c>
      <c r="AW77" s="45">
        <f>(X21*$B$8+Y51*$B$9 + X23+Y53)/1000</f>
        <v>1.8709334806574973</v>
      </c>
      <c r="AX77" s="45">
        <f>(Y21*$B$8+Y51*$B$9 + Y23+Y53)/1000</f>
        <v>1.8218863537333485</v>
      </c>
      <c r="AY77" s="45">
        <f>(Z21*$B$8+X51*$B$9 + Z23+X53)/1000</f>
        <v>2.1759636342851496</v>
      </c>
      <c r="AZ77" s="45">
        <f>(AA21*$B$8+X51*$B$9 + AA23+X53)/1000</f>
        <v>2.1758802692832968</v>
      </c>
      <c r="BA77" s="45">
        <f>(AB21*$B$8+X51*$B$9 + AB23+X53)/1000</f>
        <v>2.1747937197481768</v>
      </c>
      <c r="BB77" s="45">
        <f>(X21*$B$8+AC51*$B$9 + X23+AC53)/1000</f>
        <v>0.14413091448610957</v>
      </c>
      <c r="BC77" s="45">
        <f>(Y21*$B$8+AC51*$B$9 + Y23+AC53)/1000</f>
        <v>9.5083787561960564E-2</v>
      </c>
      <c r="BD77" s="45">
        <f>(Z21*$B$8+Y51*$B$9 + Z23+Y53)/1000</f>
        <v>1.8217937259535122</v>
      </c>
      <c r="BE77" s="45">
        <f>(AA21*$B$8+Y51*$B$9 + AA23+Y53)/1000</f>
        <v>1.8217103609516594</v>
      </c>
      <c r="BF77" s="45">
        <f>(AB21*$B$8+Y51*$B$9 + AB23+Y53)/1000</f>
        <v>1.8206238114165394</v>
      </c>
      <c r="BG77" s="45">
        <f>(Z21*$B$8+AC51*$B$9 + Z23+AC53)/1000</f>
        <v>9.499115978212426E-2</v>
      </c>
      <c r="BH77" s="45">
        <f>(AA21*$B$8+AC51*$B$9 + AA23+AC53)/1000</f>
        <v>9.4907794780271587E-2</v>
      </c>
      <c r="BI77" s="70">
        <f>(AB21*$B$8+AC51*$B$9 + AB23+AC53)/1000</f>
        <v>9.3821245245151619E-2</v>
      </c>
    </row>
    <row r="78" spans="22:61" ht="15">
      <c r="V78" s="50" t="s">
        <v>203</v>
      </c>
      <c r="W78" s="45">
        <v>80</v>
      </c>
      <c r="AK78" s="68" t="str">
        <f t="shared" si="22"/>
        <v>Handheld - dense crop - downwards -  (motorized) Knapsack</v>
      </c>
      <c r="AL78" s="60">
        <f>(W24*$B$8+W51*$B$9 + W26+W53)/1000</f>
        <v>14.513822970842552</v>
      </c>
      <c r="AM78" s="60"/>
      <c r="AN78" s="60"/>
      <c r="AO78" s="60"/>
      <c r="AP78" s="60"/>
      <c r="AQ78" s="60"/>
      <c r="AR78" s="60"/>
      <c r="AS78" s="60"/>
      <c r="AT78" s="60"/>
      <c r="AU78" s="60">
        <f>(X24*$B$8+X51*$B$9 + X26+X53)/1000</f>
        <v>2.7512272701525555</v>
      </c>
      <c r="AV78" s="60">
        <f>(Y24*$B$8+X51*$B$9 + Y26+X53)/1000</f>
        <v>2.1826072701525554</v>
      </c>
      <c r="AW78" s="60">
        <f>(X24*$B$8+Y51*$B$9 + X26+Y53)/1000</f>
        <v>2.3970573618209183</v>
      </c>
      <c r="AX78" s="60">
        <f>(Y24*$B$8+Y51*$B$9 + Y26+Y53)/1000</f>
        <v>1.8284373618209182</v>
      </c>
      <c r="AY78" s="45">
        <f>(Z24*$B$8+X51*$B$9 + Z26+X53)/1000</f>
        <v>2.1818572701525554</v>
      </c>
      <c r="AZ78" s="45">
        <f>(AA24*$B$8+X51*$B$9 + AA26+X53)/1000</f>
        <v>2.1811822701525552</v>
      </c>
      <c r="BA78" s="45" t="s">
        <v>146</v>
      </c>
      <c r="BB78" s="60">
        <f>(X24*$B$8+AC51*$B$9 + X26+AC53)/1000</f>
        <v>0.67025479564953017</v>
      </c>
      <c r="BC78" s="60">
        <f>(Y24*$B$8+AC51*$B$9 + Y26+AC53)/1000</f>
        <v>0.1016347956495301</v>
      </c>
      <c r="BD78" s="45">
        <f>(Z24*$B$8+Y51*$B$9 + Z26+Y53)/1000</f>
        <v>1.8276873618209182</v>
      </c>
      <c r="BE78" s="45">
        <f>(AA24*$B$8+Y51*$B$9 + AA26+Y53)/1000</f>
        <v>1.827012361820918</v>
      </c>
      <c r="BF78" s="45" t="s">
        <v>146</v>
      </c>
      <c r="BG78" s="60">
        <f>(Z24*$B$8+AC51*$B$9 + Z26+AC53)/1000</f>
        <v>0.1008847956495301</v>
      </c>
      <c r="BH78" s="60">
        <f>(AA24*$B$8+AC51*$B$9 + AA26+AC53)/1000</f>
        <v>0.10020979564953009</v>
      </c>
      <c r="BI78" s="69" t="s">
        <v>146</v>
      </c>
    </row>
    <row r="79" spans="22:61" ht="15">
      <c r="V79" s="50" t="s">
        <v>204</v>
      </c>
      <c r="W79" s="45">
        <v>2</v>
      </c>
      <c r="AK79" s="68" t="str">
        <f t="shared" si="22"/>
        <v>Handheld - dense crop - upwards - Tank</v>
      </c>
      <c r="AL79" s="60">
        <f>(W21*$B$8+W54*$B$9 + W23+W56)/1000</f>
        <v>18.229288967063869</v>
      </c>
      <c r="AM79" s="60"/>
      <c r="AN79" s="60"/>
      <c r="AO79" s="60"/>
      <c r="AP79" s="60"/>
      <c r="AQ79" s="60"/>
      <c r="AR79" s="60"/>
      <c r="AS79" s="60"/>
      <c r="AT79" s="60"/>
      <c r="AU79" s="60">
        <f>(X21*$B$8+X54*$B$9 + X23+X56)/1000</f>
        <v>2.1210361188365794</v>
      </c>
      <c r="AV79" s="60">
        <f>(Y21*$B$8+X54*$B$9 + Y23+X56)/1000</f>
        <v>2.0719889919124301</v>
      </c>
      <c r="AW79" s="60">
        <f>(X21*$B$8+Y54*$B$9 + X23+Y56)/1000</f>
        <v>1.6017661188365795</v>
      </c>
      <c r="AX79" s="60">
        <f>(Y21*$B$8+Y54*$B$9 + Y23+Y56)/1000</f>
        <v>1.5527189919124305</v>
      </c>
      <c r="AY79" s="45">
        <f>(Z21*$B$8+X54*$B$9 + Z23+X56)/1000</f>
        <v>2.071896364132594</v>
      </c>
      <c r="AZ79" s="45">
        <f>(AA21*$B$8+X54*$B$9 + AA23+X56)/1000</f>
        <v>2.0718129991307412</v>
      </c>
      <c r="BA79" s="45">
        <f>(AB21*$B$8+X54*$B$9 + AB23+X56)/1000</f>
        <v>2.0707264495956217</v>
      </c>
      <c r="BB79" s="60">
        <f>(X21*$B$8+AC54*$B$9 + X22+AC56)/1000</f>
        <v>0.16153882066746703</v>
      </c>
      <c r="BC79" s="60">
        <f>(Y21*$B$8+AC54*$B$9 + Y22+AC56)/1000</f>
        <v>0.11249169374331808</v>
      </c>
      <c r="BD79" s="45">
        <f>(Z21*$B$8+Y54*$B$9 + Z23+Y56)/1000</f>
        <v>1.5526263641325944</v>
      </c>
      <c r="BE79" s="45">
        <f>(AA21*$B$8+Y54*$B$9 + AA23+Y56)/1000</f>
        <v>1.5525429991307416</v>
      </c>
      <c r="BF79" s="45">
        <f>(AB21*$B$8+Y54*$B$9 + AB23+Y56)/1000</f>
        <v>1.5514564495956216</v>
      </c>
      <c r="BG79" s="60">
        <f>(Z21*$B$8+AC54*$B$9 + Z23+AC56)/1000</f>
        <v>0.11091486413259417</v>
      </c>
      <c r="BH79" s="60">
        <f>(AA21*$B$8+AC54*$B$9 + AA23+AC56)/1000</f>
        <v>0.1108314991307415</v>
      </c>
      <c r="BI79" s="69">
        <f>(AB21*$B$8+AC54*$B$9 + AB23+AC56)/1000</f>
        <v>0.10974494959562153</v>
      </c>
    </row>
    <row r="80" spans="22:61" ht="15" thickBot="1">
      <c r="AK80" s="68" t="str">
        <f t="shared" si="22"/>
        <v>Handheld - dense crop - upwards - (motorized) Knapsack</v>
      </c>
      <c r="AL80" s="60">
        <f>(W24*$B$8+W54*$B$9 + W26+W56)/1000</f>
        <v>18.75986</v>
      </c>
      <c r="AM80" s="60"/>
      <c r="AN80" s="60"/>
      <c r="AO80" s="60"/>
      <c r="AP80" s="60"/>
      <c r="AQ80" s="60"/>
      <c r="AR80" s="60"/>
      <c r="AS80" s="60"/>
      <c r="AT80" s="60"/>
      <c r="AU80" s="60">
        <f>(X24*$B$8+X54*$B$9 + X26+X56)/1000</f>
        <v>2.64716</v>
      </c>
      <c r="AV80" s="60">
        <f>(Y24*$B$8+X54*$B$9 + Y26+X56)/1000</f>
        <v>2.0785399999999998</v>
      </c>
      <c r="AW80" s="60">
        <f>(X24*$B$8+Y54*$B$9 + X26+Y56)/1000</f>
        <v>2.1278899999999998</v>
      </c>
      <c r="AX80" s="60">
        <f>(Y24*$B$8+Y54*$B$9 + Y26+Y56)/1000</f>
        <v>1.5592700000000002</v>
      </c>
      <c r="AY80" s="45">
        <f>(Z24*$B$8+X54*$B$9 + Z26+X56)/1000</f>
        <v>2.0777899999999998</v>
      </c>
      <c r="AZ80" s="45">
        <f>(AA24*$B$8+X54*$B$9 + AA26+X56)/1000</f>
        <v>2.0771149999999996</v>
      </c>
      <c r="BA80" s="45" t="s">
        <v>146</v>
      </c>
      <c r="BB80" s="60">
        <f>(X24*$B$8+AC54*$B$9 + X26+AC56)/1000</f>
        <v>0.68617850000000002</v>
      </c>
      <c r="BC80" s="60">
        <f>(Y24*$B$8+AC54*$B$9 + Y26+AC56)/1000</f>
        <v>0.11755850000000001</v>
      </c>
      <c r="BD80" s="45">
        <f>(Z24*$B$8+Y54*$B$9 + Z26+Y56)/1000</f>
        <v>1.5585200000000001</v>
      </c>
      <c r="BE80" s="45">
        <f>(AA24*$B$8+Y54*$B$9 + AA26+Y56)/1000</f>
        <v>1.5578449999999999</v>
      </c>
      <c r="BF80" s="45" t="s">
        <v>146</v>
      </c>
      <c r="BG80" s="60">
        <f>(Z24*$B$8+AC54*$B$9 + Z26+AC56)/1000</f>
        <v>0.11680850000000001</v>
      </c>
      <c r="BH80" s="60">
        <f>(AA24*$B$8+AC54*$B$9 + AA26+AC56)/1000</f>
        <v>0.11613350000000001</v>
      </c>
      <c r="BI80" s="69" t="s">
        <v>146</v>
      </c>
    </row>
    <row r="81" spans="22:61" ht="15.75" thickBot="1">
      <c r="V81" s="57" t="s">
        <v>205</v>
      </c>
      <c r="AK81" s="68" t="str">
        <f>V78</f>
        <v>Solid Broadcast spreader for granules</v>
      </c>
      <c r="AL81" s="60">
        <f>(W27*$B$8+W45*$B$8+W29+W47)/1000</f>
        <v>2.4338000000000002E-2</v>
      </c>
      <c r="AM81" s="60"/>
      <c r="AN81" s="60"/>
      <c r="AO81" s="60"/>
      <c r="AP81" s="60"/>
      <c r="AQ81" s="60"/>
      <c r="AR81" s="60"/>
      <c r="AS81" s="60"/>
      <c r="AT81" s="60"/>
      <c r="AU81" s="60">
        <f>(X27*$B$8+X45*$B$8+X29+X47)/1000</f>
        <v>3.701E-4</v>
      </c>
      <c r="AV81" s="60">
        <f>(Y27*$B$8+X45*$B$8+Y29+X47)/1000</f>
        <v>3.5036000000000003E-4</v>
      </c>
      <c r="AW81" s="60">
        <f>(X27*$B$8+Y45*$B$8+X29+Y47)/1000</f>
        <v>3.3391999999999997E-4</v>
      </c>
      <c r="AX81" s="60">
        <f>(Y27*$B$8+Y45*$B$8+Y29+Y47)/1000</f>
        <v>3.1418E-4</v>
      </c>
      <c r="AY81" s="62">
        <f>(Z27*$B$8+X45*$B$8+Z29+X47)/1000</f>
        <v>3.0487999999999999E-4</v>
      </c>
      <c r="AZ81" s="62">
        <f>(AA27*$B$8+X45*$B$8+AA29+X47)/1000</f>
        <v>2.6394800000000001E-4</v>
      </c>
      <c r="BA81" s="62" t="s">
        <v>146</v>
      </c>
      <c r="BB81" s="60">
        <f>(X27*$B$8+AC45*$B$8+X29+AC47)/1000</f>
        <v>2.4346099999999999E-4</v>
      </c>
      <c r="BC81" s="60">
        <f>(Y27*$B$8+AC45*$B$8+Y29+AC47)/1000</f>
        <v>2.2372099999999999E-4</v>
      </c>
      <c r="BD81" s="62">
        <f>(Z27*$B$8+Y45*$B$8+Z29+Y47)/1000</f>
        <v>2.6869999999999997E-4</v>
      </c>
      <c r="BE81" s="62">
        <f>(AA27*$B$8+Y45*$B$8+AA29+Y47)/1000</f>
        <v>2.2776800000000002E-4</v>
      </c>
      <c r="BF81" s="62" t="s">
        <v>146</v>
      </c>
      <c r="BG81" s="62">
        <f>(Z27*$B$8+AC45*$B$8+Z29+AC47)/1000</f>
        <v>1.7824100000000004E-4</v>
      </c>
      <c r="BH81" s="62">
        <f>(AA27*$B$8+AC45*$B$8+AA29+AC47)/1000</f>
        <v>1.3730900000000001E-4</v>
      </c>
      <c r="BI81" s="71" t="s">
        <v>146</v>
      </c>
    </row>
    <row r="82" spans="22:61">
      <c r="V82" s="54" t="s">
        <v>206</v>
      </c>
      <c r="AK82" s="68" t="str">
        <f>V79</f>
        <v>Manual granule application</v>
      </c>
      <c r="AL82" s="60">
        <f>(W48*$B$8+W50)/1000</f>
        <v>137.28493739999999</v>
      </c>
      <c r="AM82" s="60"/>
      <c r="AN82" s="60"/>
      <c r="AO82" s="60"/>
      <c r="AP82" s="60"/>
      <c r="AQ82" s="60"/>
      <c r="AR82" s="60"/>
      <c r="AS82" s="60"/>
      <c r="AT82" s="60"/>
      <c r="AU82" s="60">
        <f>(X48*$B$8+X50)/1000</f>
        <v>1.3933655400000002</v>
      </c>
      <c r="AV82" s="60" t="s">
        <v>146</v>
      </c>
      <c r="AW82" s="60" t="s">
        <v>146</v>
      </c>
      <c r="AX82" s="60">
        <f>(Y48*$B$8+Y50)/1000</f>
        <v>0.96359640000000002</v>
      </c>
      <c r="AY82" s="60" t="s">
        <v>146</v>
      </c>
      <c r="AZ82" s="60" t="s">
        <v>146</v>
      </c>
      <c r="BA82" s="45" t="s">
        <v>146</v>
      </c>
      <c r="BB82" s="60" t="s">
        <v>146</v>
      </c>
      <c r="BC82" s="60" t="s">
        <v>146</v>
      </c>
      <c r="BD82" s="60" t="s">
        <v>146</v>
      </c>
      <c r="BE82" s="60" t="s">
        <v>146</v>
      </c>
      <c r="BF82" s="45" t="s">
        <v>146</v>
      </c>
      <c r="BG82" s="60" t="s">
        <v>146</v>
      </c>
      <c r="BH82" s="60">
        <f>(AC48*$B$8+AC50)/1000</f>
        <v>6.7867050000000012E-2</v>
      </c>
      <c r="BI82" s="69" t="s">
        <v>146</v>
      </c>
    </row>
    <row r="83" spans="22:61" ht="15" thickBot="1">
      <c r="V83" s="56" t="s">
        <v>207</v>
      </c>
      <c r="AK83" s="68" t="str">
        <f>V76</f>
        <v>Aerial (airplane)</v>
      </c>
      <c r="AL83" s="60">
        <f>(W21*$B$8+W42*$B$9 + W23+W44)/1000</f>
        <v>9.536318706387098E-2</v>
      </c>
      <c r="AM83" s="60"/>
      <c r="AN83" s="60"/>
      <c r="AO83" s="60"/>
      <c r="AP83" s="60"/>
      <c r="AQ83" s="60"/>
      <c r="AR83" s="60"/>
      <c r="AS83" s="60"/>
      <c r="AT83" s="60"/>
      <c r="AU83" s="60">
        <f>(X21*$B$8+X42*$B$9 + X23+X44)/1000</f>
        <v>5.0514038836579449E-2</v>
      </c>
      <c r="AV83" s="60">
        <f>(Y21*$B$8+X42*$B$9 + Y23+X44)/1000</f>
        <v>1.466911912430476E-3</v>
      </c>
      <c r="AW83" s="60">
        <f>(X21*$B$8+Y42*$B$9 + X23+Y44)/1000</f>
        <v>5.0429438836579452E-2</v>
      </c>
      <c r="AX83" s="60">
        <f>(Y21*$B$8+Y42*$B$9 + Y23+Y44)/1000</f>
        <v>1.382311912430476E-3</v>
      </c>
      <c r="AY83" s="45">
        <f>(Z21*$B$8+X42*$B$9 + Z23+X44)/1000</f>
        <v>1.3742841325941708E-3</v>
      </c>
      <c r="AZ83" s="45">
        <f>(AA21*$B$8+X42*$B$9 + AA23+X44)/1000</f>
        <v>1.2909191307414959E-3</v>
      </c>
      <c r="BA83" s="45">
        <f>(AB21*$B$8+X42*$B$9 + AB23+X44)/1000</f>
        <v>2.0436959562152379E-4</v>
      </c>
      <c r="BB83" s="60" t="s">
        <v>146</v>
      </c>
      <c r="BC83" s="60" t="s">
        <v>146</v>
      </c>
      <c r="BD83" s="45">
        <f>(Z21*$B$8+Y42*$B$9 + Z23+Y44)/1000</f>
        <v>1.2896841325941708E-3</v>
      </c>
      <c r="BE83" s="45">
        <f>(AA21*$B$8+Y42*$B$9 + AA23+Y44)/1000</f>
        <v>1.2063191307414959E-3</v>
      </c>
      <c r="BF83" s="45">
        <f>(AB21*$B$8+Y42*$B$9 + AB23+Y44)/1000</f>
        <v>1.1976959562152379E-4</v>
      </c>
      <c r="BG83" s="60" t="s">
        <v>146</v>
      </c>
      <c r="BH83" s="60" t="s">
        <v>146</v>
      </c>
      <c r="BI83" s="69" t="s">
        <v>146</v>
      </c>
    </row>
    <row r="84" spans="22:61" ht="15" thickBot="1">
      <c r="AK84" s="72" t="str">
        <f>$V$77</f>
        <v>Drip irrigation</v>
      </c>
      <c r="AL84" s="73">
        <f>(W21*$B$8+ W23)/1000</f>
        <v>9.2608967063870978E-2</v>
      </c>
      <c r="AM84" s="74"/>
      <c r="AN84" s="74"/>
      <c r="AO84" s="74"/>
      <c r="AP84" s="74"/>
      <c r="AQ84" s="74"/>
      <c r="AR84" s="74"/>
      <c r="AS84" s="74"/>
      <c r="AT84" s="74"/>
      <c r="AU84" s="74">
        <f>(X21*$B$8 + X23)/1000</f>
        <v>5.0376118836579449E-2</v>
      </c>
      <c r="AV84" s="74">
        <f>(Y21*$B$8 + Y23)/1000</f>
        <v>1.3289919124304759E-3</v>
      </c>
      <c r="AW84" s="74" t="s">
        <v>146</v>
      </c>
      <c r="AX84" s="74" t="s">
        <v>146</v>
      </c>
      <c r="AY84" s="73">
        <f>(Z21*$B$8 + Z23)/1000</f>
        <v>1.2363641325941707E-3</v>
      </c>
      <c r="AZ84" s="75">
        <f>(AA21*$B$8 + AA23)/1000</f>
        <v>1.1529991307414958E-3</v>
      </c>
      <c r="BA84" s="73">
        <f>(AB21*$B$8 + AB23)/1000</f>
        <v>6.6449595621523796E-5</v>
      </c>
      <c r="BB84" s="74" t="s">
        <v>146</v>
      </c>
      <c r="BC84" s="74" t="s">
        <v>146</v>
      </c>
      <c r="BD84" s="74" t="s">
        <v>146</v>
      </c>
      <c r="BE84" s="74" t="s">
        <v>146</v>
      </c>
      <c r="BF84" s="74" t="s">
        <v>146</v>
      </c>
      <c r="BG84" s="74" t="s">
        <v>146</v>
      </c>
      <c r="BH84" s="74" t="s">
        <v>146</v>
      </c>
      <c r="BI84" s="76" t="s">
        <v>146</v>
      </c>
    </row>
    <row r="85" spans="22:61" ht="15.75" thickBot="1">
      <c r="V85" s="57" t="s">
        <v>208</v>
      </c>
    </row>
    <row r="86" spans="22:61">
      <c r="V86" s="54" t="s">
        <v>44</v>
      </c>
    </row>
    <row r="87" spans="22:61">
      <c r="V87" s="55" t="s">
        <v>209</v>
      </c>
    </row>
    <row r="88" spans="22:61">
      <c r="V88" s="55" t="s">
        <v>210</v>
      </c>
    </row>
    <row r="89" spans="22:61" ht="15" thickBot="1">
      <c r="V89" s="56" t="s">
        <v>80</v>
      </c>
    </row>
    <row r="90" spans="22:61" ht="15" thickBot="1"/>
    <row r="91" spans="22:61" ht="15.75" thickBot="1">
      <c r="V91" s="58" t="s">
        <v>211</v>
      </c>
    </row>
    <row r="92" spans="22:61">
      <c r="V92" s="55" t="s">
        <v>212</v>
      </c>
    </row>
    <row r="93" spans="22:61" ht="15" thickBot="1">
      <c r="V93" s="56" t="s">
        <v>91</v>
      </c>
    </row>
  </sheetData>
  <protectedRanges>
    <protectedRange sqref="B2:B13" name="Bereich1"/>
  </protectedRanges>
  <mergeCells count="51">
    <mergeCell ref="DK13:DM13"/>
    <mergeCell ref="DN13:DP13"/>
    <mergeCell ref="W19:AC19"/>
    <mergeCell ref="AK15:BC15"/>
    <mergeCell ref="CB13:CG13"/>
    <mergeCell ref="CH13:CM13"/>
    <mergeCell ref="CN13:CS13"/>
    <mergeCell ref="CT13:CW13"/>
    <mergeCell ref="CX13:DA13"/>
    <mergeCell ref="W18:Y18"/>
    <mergeCell ref="AL18:AX18"/>
    <mergeCell ref="R6:R12"/>
    <mergeCell ref="Q6:Q12"/>
    <mergeCell ref="E22:G22"/>
    <mergeCell ref="DB13:DG13"/>
    <mergeCell ref="DH13:DJ13"/>
    <mergeCell ref="BK13:BP13"/>
    <mergeCell ref="BQ13:BV13"/>
    <mergeCell ref="BW13:BY13"/>
    <mergeCell ref="BK8:BR8"/>
    <mergeCell ref="S6:S12"/>
    <mergeCell ref="DA8:DH8"/>
    <mergeCell ref="DA9:DH9"/>
    <mergeCell ref="BQ11:BV11"/>
    <mergeCell ref="BK11:BP11"/>
    <mergeCell ref="CB10:DP10"/>
    <mergeCell ref="CB11:CG11"/>
    <mergeCell ref="DH11:DJ11"/>
    <mergeCell ref="DK11:DM11"/>
    <mergeCell ref="DN11:DP11"/>
    <mergeCell ref="BK10:BY10"/>
    <mergeCell ref="BW11:BY11"/>
    <mergeCell ref="CH11:CM11"/>
    <mergeCell ref="CN11:CS11"/>
    <mergeCell ref="CT11:CW11"/>
    <mergeCell ref="CX11:DA11"/>
    <mergeCell ref="DB11:DG11"/>
    <mergeCell ref="P6:P12"/>
    <mergeCell ref="N6:N12"/>
    <mergeCell ref="E6:E12"/>
    <mergeCell ref="F6:F12"/>
    <mergeCell ref="G6:G12"/>
    <mergeCell ref="H6:H12"/>
    <mergeCell ref="I6:I12"/>
    <mergeCell ref="O6:O12"/>
    <mergeCell ref="C19:D19"/>
    <mergeCell ref="C20:D20"/>
    <mergeCell ref="J6:J12"/>
    <mergeCell ref="L6:L12"/>
    <mergeCell ref="M6:M12"/>
    <mergeCell ref="K6:K12"/>
  </mergeCells>
  <conditionalFormatting sqref="E20:S20">
    <cfRule type="cellIs" dxfId="1" priority="2" operator="greaterThanOrEqual">
      <formula>1</formula>
    </cfRule>
    <cfRule type="cellIs" dxfId="0" priority="3" operator="lessThan">
      <formula>1</formula>
    </cfRule>
  </conditionalFormatting>
  <dataValidations count="3">
    <dataValidation type="list" allowBlank="1" showInputMessage="1" showErrorMessage="1" sqref="B5" xr:uid="{00000000-0002-0000-0000-000002000000}">
      <formula1>IF(FT="granule",$V$78:$V$79,$V$66:$V$77)</formula1>
    </dataValidation>
    <dataValidation type="list" allowBlank="1" showInputMessage="1" showErrorMessage="1" sqref="B4" xr:uid="{00000000-0002-0000-0000-000000000000}">
      <formula1>$V$86:$V$89</formula1>
    </dataValidation>
    <dataValidation type="list" allowBlank="1" showInputMessage="1" showErrorMessage="1" sqref="B12:B13" xr:uid="{00000000-0002-0000-0000-000001000000}">
      <formula1>$V$92:$V$93</formula1>
    </dataValidation>
  </dataValidations>
  <hyperlinks>
    <hyperlink ref="G28" location="'Bayer Safety Standard Model'!BK8" display="click to jump to cell" xr:uid="{90D43C1D-1BF7-42D0-9D9D-E96E53B0C83B}"/>
    <hyperlink ref="G29" location="'Bayer Safety Standard Model'!W19" display="click to jump to cell" xr:uid="{94D22B0C-5050-4D55-9B7D-2D4DB80117F0}"/>
    <hyperlink ref="G30" location="'Bayer Safety Standard Model'!AL15" display="click to jump to cell" xr:uid="{DE2AA4AF-7AB9-4D99-BDE1-1AFD74323F75}"/>
    <hyperlink ref="G31" location="'Bayer Safety Standard Model'!E22" display="click to jump to cell" xr:uid="{02D8B6B7-FBC2-43A7-B1BC-6AA087F957ED}"/>
    <hyperlink ref="F2" r:id="rId1" xr:uid="{8EE84C68-393E-4162-BA5A-D164A249DACB}"/>
  </hyperlinks>
  <pageMargins left="0.7" right="0.7" top="0.78740157499999996" bottom="0.78740157499999996" header="0.3" footer="0.3"/>
  <pageSetup paperSize="9" orientation="portrait"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FC3E6D20229B2642980B20C9DFC668D8" ma:contentTypeVersion="19" ma:contentTypeDescription="Ein neues Dokument erstellen." ma:contentTypeScope="" ma:versionID="baf487356c88a5f488cc8979563e0b65">
  <xsd:schema xmlns:xsd="http://www.w3.org/2001/XMLSchema" xmlns:xs="http://www.w3.org/2001/XMLSchema" xmlns:p="http://schemas.microsoft.com/office/2006/metadata/properties" xmlns:ns1="http://schemas.microsoft.com/sharepoint/v3" xmlns:ns2="1a4d292e-883c-434b-96e3-060cfff16c86" xmlns:ns3="71da3e01-74af-4019-b5a4-83716a823600" xmlns:ns4="744a13cb-0a78-44d0-b64f-4b9da571e426" targetNamespace="http://schemas.microsoft.com/office/2006/metadata/properties" ma:root="true" ma:fieldsID="ac25fe2d8d75d6795be010f75bf6c21c" ns1:_="" ns2:_="" ns3:_="" ns4:_="">
    <xsd:import namespace="http://schemas.microsoft.com/sharepoint/v3"/>
    <xsd:import namespace="1a4d292e-883c-434b-96e3-060cfff16c86"/>
    <xsd:import namespace="71da3e01-74af-4019-b5a4-83716a823600"/>
    <xsd:import namespace="744a13cb-0a78-44d0-b64f-4b9da571e426"/>
    <xsd:element name="properties">
      <xsd:complexType>
        <xsd:sequence>
          <xsd:element name="documentManagement">
            <xsd:complexType>
              <xsd:all>
                <xsd:element ref="ns2:TaxCatchAll" minOccurs="0"/>
                <xsd:element ref="ns2:TaxCatchAllLabel" minOccurs="0"/>
                <xsd:element ref="ns1:_dlc_Exempt" minOccurs="0"/>
                <xsd:element ref="ns1:_dlc_ExpireDateSaved" minOccurs="0"/>
                <xsd:element ref="ns1:_dlc_ExpireDate" minOccurs="0"/>
                <xsd:element ref="ns3:MediaServiceFastMetadata" minOccurs="0"/>
                <xsd:element ref="ns3:MediaServiceMetadata" minOccurs="0"/>
                <xsd:element ref="ns3:MediaServiceAutoKeyPoints" minOccurs="0"/>
                <xsd:element ref="ns3:MediaServiceKeyPoints" minOccurs="0"/>
                <xsd:element ref="ns3:MediaServiceAutoTags" minOccurs="0"/>
                <xsd:element ref="ns3:MediaServiceGenerationTime" minOccurs="0"/>
                <xsd:element ref="ns3:MediaServiceEventHashCode" minOccurs="0"/>
                <xsd:element ref="ns3:MediaServiceOCR" minOccurs="0"/>
                <xsd:element ref="ns4:SharedWithUsers" minOccurs="0"/>
                <xsd:element ref="ns4:SharedWithDetails"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dlc_Exempt" ma:index="10" nillable="true" ma:displayName="Von der Richtlinie ausgenommen" ma:hidden="true" ma:internalName="_dlc_Exempt" ma:readOnly="false">
      <xsd:simpleType>
        <xsd:restriction base="dms:Unknown"/>
      </xsd:simpleType>
    </xsd:element>
    <xsd:element name="_dlc_ExpireDateSaved" ma:index="11" nillable="true" ma:displayName="Ursprüngliches Ablaufdatum" ma:hidden="true" ma:internalName="_dlc_ExpireDateSaved" ma:readOnly="false">
      <xsd:simpleType>
        <xsd:restriction base="dms:DateTime"/>
      </xsd:simpleType>
    </xsd:element>
    <xsd:element name="_dlc_ExpireDate" ma:index="12" nillable="true" ma:displayName="Ablaufdatum" ma:hidden="true" ma:internalName="_dlc_ExpireDate" ma:readOnly="fals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1a4d292e-883c-434b-96e3-060cfff16c86"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956b70c1-9dc1-4658-9f7c-217f6109c910}" ma:internalName="TaxCatchAll" ma:showField="CatchAllData" ma:web="744a13cb-0a78-44d0-b64f-4b9da571e426">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956b70c1-9dc1-4658-9f7c-217f6109c910}" ma:internalName="TaxCatchAllLabel" ma:readOnly="true" ma:showField="CatchAllDataLabel" ma:web="744a13cb-0a78-44d0-b64f-4b9da571e42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1da3e01-74af-4019-b5a4-83716a823600" elementFormDefault="qualified">
    <xsd:import namespace="http://schemas.microsoft.com/office/2006/documentManagement/types"/>
    <xsd:import namespace="http://schemas.microsoft.com/office/infopath/2007/PartnerControls"/>
    <xsd:element name="MediaServiceFastMetadata" ma:index="13" nillable="true" ma:displayName="MediaServiceFastMetadata" ma:hidden="true" ma:internalName="MediaServiceFastMetadata" ma:readOnly="true">
      <xsd:simpleType>
        <xsd:restriction base="dms:Note"/>
      </xsd:simpleType>
    </xsd:element>
    <xsd:element name="MediaServiceMetadata" ma:index="14" nillable="true" ma:displayName="MediaServiceMetadata" ma:hidden="true" ma:internalName="MediaServiceMetadata" ma:readOnly="true">
      <xsd:simpleType>
        <xsd:restriction base="dms:Note"/>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AutoTags" ma:index="17" nillable="true" ma:displayName="Tags" ma:internalName="MediaServiceAutoTags"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DateTaken" ma:index="23"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44a13cb-0a78-44d0-b64f-4b9da571e426" elementFormDefault="qualified">
    <xsd:import namespace="http://schemas.microsoft.com/office/2006/documentManagement/types"/>
    <xsd:import namespace="http://schemas.microsoft.com/office/infopath/2007/PartnerControls"/>
    <xsd:element name="SharedWithUsers" ma:index="21"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1a4d292e-883c-434b-96e3-060cfff16c86" xsi:nil="true"/>
    <_dlc_ExpireDateSaved xmlns="http://schemas.microsoft.com/sharepoint/v3" xsi:nil="true"/>
    <_dlc_ExpireDate xmlns="http://schemas.microsoft.com/sharepoint/v3" xsi:nil="true"/>
    <_dlc_Exempt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haredContentType xmlns="Microsoft.SharePoint.Taxonomy.ContentTypeSync" SourceId="7bc43322-b630-4bac-8b27-31def233d1d0" ContentTypeId="0x0101" PreviousValue="false"/>
</file>

<file path=customXml/itemProps1.xml><?xml version="1.0" encoding="utf-8"?>
<ds:datastoreItem xmlns:ds="http://schemas.openxmlformats.org/officeDocument/2006/customXml" ds:itemID="{2A17C7D0-A095-450B-8EAC-2FC175068F11}"/>
</file>

<file path=customXml/itemProps2.xml><?xml version="1.0" encoding="utf-8"?>
<ds:datastoreItem xmlns:ds="http://schemas.openxmlformats.org/officeDocument/2006/customXml" ds:itemID="{4E82F3B5-E526-4E34-8B57-D14EFACD0999}"/>
</file>

<file path=customXml/itemProps3.xml><?xml version="1.0" encoding="utf-8"?>
<ds:datastoreItem xmlns:ds="http://schemas.openxmlformats.org/officeDocument/2006/customXml" ds:itemID="{6785197B-0D09-46E6-9E0C-ABA111BD0C78}"/>
</file>

<file path=customXml/itemProps4.xml><?xml version="1.0" encoding="utf-8"?>
<ds:datastoreItem xmlns:ds="http://schemas.openxmlformats.org/officeDocument/2006/customXml" ds:itemID="{14096A4B-0D8E-49E3-88EC-FCE4C61073D3}"/>
</file>

<file path=docProps/app.xml><?xml version="1.0" encoding="utf-8"?>
<Properties xmlns="http://schemas.openxmlformats.org/officeDocument/2006/extended-properties" xmlns:vt="http://schemas.openxmlformats.org/officeDocument/2006/docPropsVTypes">
  <Application>Microsoft Excel Online</Application>
  <Manager/>
  <Company>Bayer</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Christian Kuester</dc:creator>
  <cp:keywords/>
  <dc:description/>
  <cp:lastModifiedBy/>
  <cp:revision/>
  <dcterms:created xsi:type="dcterms:W3CDTF">2018-08-30T07:28:11Z</dcterms:created>
  <dcterms:modified xsi:type="dcterms:W3CDTF">2021-11-18T17:15:59Z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f850223-87a8-40c3-9eb2-432606efca2a_Enabled">
    <vt:lpwstr>True</vt:lpwstr>
  </property>
  <property fmtid="{D5CDD505-2E9C-101B-9397-08002B2CF9AE}" pid="3" name="MSIP_Label_7f850223-87a8-40c3-9eb2-432606efca2a_SiteId">
    <vt:lpwstr>fcb2b37b-5da0-466b-9b83-0014b67a7c78</vt:lpwstr>
  </property>
  <property fmtid="{D5CDD505-2E9C-101B-9397-08002B2CF9AE}" pid="4" name="MSIP_Label_7f850223-87a8-40c3-9eb2-432606efca2a_Owner">
    <vt:lpwstr>christian.kuester@bayer.com</vt:lpwstr>
  </property>
  <property fmtid="{D5CDD505-2E9C-101B-9397-08002B2CF9AE}" pid="5" name="MSIP_Label_7f850223-87a8-40c3-9eb2-432606efca2a_SetDate">
    <vt:lpwstr>2021-11-11T13:14:14.1784795Z</vt:lpwstr>
  </property>
  <property fmtid="{D5CDD505-2E9C-101B-9397-08002B2CF9AE}" pid="6" name="MSIP_Label_7f850223-87a8-40c3-9eb2-432606efca2a_Name">
    <vt:lpwstr>NO CLASSIFICATION</vt:lpwstr>
  </property>
  <property fmtid="{D5CDD505-2E9C-101B-9397-08002B2CF9AE}" pid="7" name="MSIP_Label_7f850223-87a8-40c3-9eb2-432606efca2a_Application">
    <vt:lpwstr>Microsoft Azure Information Protection</vt:lpwstr>
  </property>
  <property fmtid="{D5CDD505-2E9C-101B-9397-08002B2CF9AE}" pid="8" name="MSIP_Label_7f850223-87a8-40c3-9eb2-432606efca2a_Extended_MSFT_Method">
    <vt:lpwstr>Automatic</vt:lpwstr>
  </property>
  <property fmtid="{D5CDD505-2E9C-101B-9397-08002B2CF9AE}" pid="9" name="Sensitivity">
    <vt:lpwstr>NO CLASSIFICATION</vt:lpwstr>
  </property>
  <property fmtid="{D5CDD505-2E9C-101B-9397-08002B2CF9AE}" pid="10" name="ContentTypeId">
    <vt:lpwstr>0x010100FC3E6D20229B2642980B20C9DFC668D8</vt:lpwstr>
  </property>
</Properties>
</file>